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15" windowWidth="11340" windowHeight="6540" tabRatio="862" activeTab="0"/>
  </bookViews>
  <sheets>
    <sheet name="Disclaimer" sheetId="1" r:id="rId1"/>
    <sheet name="Calculator" sheetId="2" r:id="rId2"/>
    <sheet name="Notes" sheetId="3" r:id="rId3"/>
    <sheet name="Parametre" sheetId="4" state="hidden" r:id="rId4"/>
    <sheet name="Beregningsark" sheetId="5" state="hidden" r:id="rId5"/>
    <sheet name="Discs" sheetId="6" state="hidden" r:id="rId6"/>
    <sheet name="Ring" sheetId="7" state="hidden" r:id="rId7"/>
    <sheet name="tubes" sheetId="8" state="hidden" r:id="rId8"/>
    <sheet name="Plates" sheetId="9" state="hidden" r:id="rId9"/>
    <sheet name="Shear Plates " sheetId="10" state="hidden" r:id="rId10"/>
    <sheet name="Shear Tube" sheetId="11" state="hidden" r:id="rId11"/>
    <sheet name="Uddata" sheetId="12" state="hidden" r:id="rId12"/>
    <sheet name="Materiale constanter" sheetId="13" state="hidden" r:id="rId13"/>
  </sheets>
  <definedNames>
    <definedName name="_xlnm.Print_Area" localSheetId="1">'Calculator'!$H$4:$J$30</definedName>
  </definedNames>
  <calcPr fullCalcOnLoad="1"/>
</workbook>
</file>

<file path=xl/comments12.xml><?xml version="1.0" encoding="utf-8"?>
<comments xmlns="http://schemas.openxmlformats.org/spreadsheetml/2006/main">
  <authors>
    <author>Unknown User</author>
  </authors>
  <commentList>
    <comment ref="B24" authorId="0">
      <text>
        <r>
          <rPr>
            <sz val="8"/>
            <rFont val="Tahoma"/>
            <family val="0"/>
          </rPr>
          <t xml:space="preserve">Output voltage between electrodes if a "planar force" is applied on diameter or length
</t>
        </r>
      </text>
    </comment>
    <comment ref="B25" authorId="0">
      <text>
        <r>
          <rPr>
            <sz val="8"/>
            <rFont val="Tahoma"/>
            <family val="2"/>
          </rPr>
          <t>Output voltage between electrodes if "planar force" is applied in width direction</t>
        </r>
        <r>
          <rPr>
            <sz val="8"/>
            <rFont val="Tahoma"/>
            <family val="0"/>
          </rPr>
          <t xml:space="preserve">
Only relevant for plates</t>
        </r>
      </text>
    </comment>
    <comment ref="B27" authorId="0">
      <text>
        <r>
          <rPr>
            <sz val="8"/>
            <rFont val="Tahoma"/>
            <family val="0"/>
          </rPr>
          <t xml:space="preserve">Output voltage between electrodes if "shar force" is applied on a shaer part.
</t>
        </r>
      </text>
    </comment>
    <comment ref="F24" authorId="0">
      <text>
        <r>
          <rPr>
            <sz val="8"/>
            <rFont val="Tahoma"/>
            <family val="0"/>
          </rPr>
          <t xml:space="preserve">Output voltage between electrodes if a "planar force" is applied on diameter or length
</t>
        </r>
      </text>
    </comment>
    <comment ref="F25" authorId="0">
      <text>
        <r>
          <rPr>
            <sz val="8"/>
            <rFont val="Tahoma"/>
            <family val="2"/>
          </rPr>
          <t>Output voltage between electrodes if "planar force" is applied in width direction</t>
        </r>
        <r>
          <rPr>
            <sz val="8"/>
            <rFont val="Tahoma"/>
            <family val="0"/>
          </rPr>
          <t xml:space="preserve">
Only relevant for plates</t>
        </r>
      </text>
    </comment>
    <comment ref="F27" authorId="0">
      <text>
        <r>
          <rPr>
            <sz val="8"/>
            <rFont val="Tahoma"/>
            <family val="0"/>
          </rPr>
          <t xml:space="preserve">Output voltage between electrodes if "shar force" is applied on a shaer part.
</t>
        </r>
      </text>
    </comment>
    <comment ref="J24" authorId="0">
      <text>
        <r>
          <rPr>
            <sz val="8"/>
            <rFont val="Tahoma"/>
            <family val="0"/>
          </rPr>
          <t xml:space="preserve">Output voltage between electrodes if a "planar force" is applied on diameter or length
</t>
        </r>
      </text>
    </comment>
    <comment ref="J25" authorId="0">
      <text>
        <r>
          <rPr>
            <sz val="8"/>
            <rFont val="Tahoma"/>
            <family val="2"/>
          </rPr>
          <t>Output voltage between electrodes if "planar force" is applied in width direction</t>
        </r>
        <r>
          <rPr>
            <sz val="8"/>
            <rFont val="Tahoma"/>
            <family val="0"/>
          </rPr>
          <t xml:space="preserve">
Only relevant for plates</t>
        </r>
      </text>
    </comment>
    <comment ref="J27" authorId="0">
      <text>
        <r>
          <rPr>
            <sz val="8"/>
            <rFont val="Tahoma"/>
            <family val="0"/>
          </rPr>
          <t xml:space="preserve">Output voltage between electrodes if "shar force" is applied on a shaer part.
</t>
        </r>
      </text>
    </comment>
    <comment ref="N24" authorId="0">
      <text>
        <r>
          <rPr>
            <sz val="8"/>
            <rFont val="Tahoma"/>
            <family val="0"/>
          </rPr>
          <t xml:space="preserve">Output voltage between electrodes if a "planar force" is applied on diameter or length
</t>
        </r>
      </text>
    </comment>
    <comment ref="N25" authorId="0">
      <text>
        <r>
          <rPr>
            <sz val="8"/>
            <rFont val="Tahoma"/>
            <family val="2"/>
          </rPr>
          <t>Output voltage between electrodes if "planar force" is applied in width direction</t>
        </r>
        <r>
          <rPr>
            <sz val="8"/>
            <rFont val="Tahoma"/>
            <family val="0"/>
          </rPr>
          <t xml:space="preserve">
Only relevant for plates</t>
        </r>
      </text>
    </comment>
    <comment ref="N27" authorId="0">
      <text>
        <r>
          <rPr>
            <sz val="8"/>
            <rFont val="Tahoma"/>
            <family val="0"/>
          </rPr>
          <t xml:space="preserve">Output voltage between electrodes if "shar force" is applied on a shaer part.
</t>
        </r>
      </text>
    </comment>
    <comment ref="R24" authorId="0">
      <text>
        <r>
          <rPr>
            <sz val="8"/>
            <rFont val="Tahoma"/>
            <family val="0"/>
          </rPr>
          <t xml:space="preserve">Output voltage between electrodes if a "planar force" is applied on diameter or length
</t>
        </r>
      </text>
    </comment>
    <comment ref="R25" authorId="0">
      <text>
        <r>
          <rPr>
            <sz val="8"/>
            <rFont val="Tahoma"/>
            <family val="2"/>
          </rPr>
          <t>Output voltage between electrodes if "planar force" is applied in width direction</t>
        </r>
        <r>
          <rPr>
            <sz val="8"/>
            <rFont val="Tahoma"/>
            <family val="0"/>
          </rPr>
          <t xml:space="preserve">
Only relevant for plates</t>
        </r>
      </text>
    </comment>
    <comment ref="R27" authorId="0">
      <text>
        <r>
          <rPr>
            <sz val="8"/>
            <rFont val="Tahoma"/>
            <family val="0"/>
          </rPr>
          <t xml:space="preserve">Output voltage between electrodes if "shar force" is applied on a shaer part.
</t>
        </r>
      </text>
    </comment>
    <comment ref="V24" authorId="0">
      <text>
        <r>
          <rPr>
            <sz val="8"/>
            <rFont val="Tahoma"/>
            <family val="0"/>
          </rPr>
          <t xml:space="preserve">Output voltage between electrodes if a "planar force" is applied on diameter or length
</t>
        </r>
      </text>
    </comment>
    <comment ref="V25" authorId="0">
      <text>
        <r>
          <rPr>
            <sz val="8"/>
            <rFont val="Tahoma"/>
            <family val="2"/>
          </rPr>
          <t>Output voltage between electrodes if "planar force" is applied in width direction</t>
        </r>
        <r>
          <rPr>
            <sz val="8"/>
            <rFont val="Tahoma"/>
            <family val="0"/>
          </rPr>
          <t xml:space="preserve">
Only relevant for plates</t>
        </r>
      </text>
    </comment>
    <comment ref="V27" authorId="0">
      <text>
        <r>
          <rPr>
            <sz val="8"/>
            <rFont val="Tahoma"/>
            <family val="0"/>
          </rPr>
          <t xml:space="preserve">Output voltage between electrodes if "shar force" is applied on a shaer part.
</t>
        </r>
      </text>
    </comment>
    <comment ref="B26" authorId="0">
      <text>
        <r>
          <rPr>
            <sz val="8"/>
            <rFont val="Tahoma"/>
            <family val="0"/>
          </rPr>
          <t>Output voltage between electrodes if a "thickness force" is applied in the thickness or heigth  (tubes) direction</t>
        </r>
      </text>
    </comment>
    <comment ref="F26" authorId="0">
      <text>
        <r>
          <rPr>
            <sz val="8"/>
            <rFont val="Tahoma"/>
            <family val="0"/>
          </rPr>
          <t>Output voltage between electrodes if a "thickness force" is applied in the thickness or heigth  (tubes) direction</t>
        </r>
      </text>
    </comment>
    <comment ref="J26" authorId="0">
      <text>
        <r>
          <rPr>
            <sz val="8"/>
            <rFont val="Tahoma"/>
            <family val="0"/>
          </rPr>
          <t>Output voltage between electrodes if a "thickness force" is applied in the thickness or heigth  (tubes) direction</t>
        </r>
      </text>
    </comment>
    <comment ref="N26" authorId="0">
      <text>
        <r>
          <rPr>
            <sz val="8"/>
            <rFont val="Tahoma"/>
            <family val="0"/>
          </rPr>
          <t>Output voltage between electrodes if a "thickness force" is applied in the thickness or heigth  (tubes) direction</t>
        </r>
      </text>
    </comment>
    <comment ref="R26" authorId="0">
      <text>
        <r>
          <rPr>
            <sz val="8"/>
            <rFont val="Tahoma"/>
            <family val="0"/>
          </rPr>
          <t>Output voltage between electrodes if a "thickness force" is applied in the thickness or heigth  (tubes) direction</t>
        </r>
      </text>
    </comment>
    <comment ref="V26" authorId="0">
      <text>
        <r>
          <rPr>
            <sz val="8"/>
            <rFont val="Tahoma"/>
            <family val="0"/>
          </rPr>
          <t>Output voltage between electrodes if a "thickness force" is applied in the thickness or heigth  (tubes) direction</t>
        </r>
      </text>
    </comment>
  </commentList>
</comments>
</file>

<file path=xl/comments2.xml><?xml version="1.0" encoding="utf-8"?>
<comments xmlns="http://schemas.openxmlformats.org/spreadsheetml/2006/main">
  <authors>
    <author>Unknown User</author>
    <author>Torsten Bove</author>
  </authors>
  <commentList>
    <comment ref="C20" authorId="0">
      <text>
        <r>
          <rPr>
            <sz val="10"/>
            <rFont val="Tahoma"/>
            <family val="2"/>
          </rPr>
          <t>Force applied perpendicular to poling field</t>
        </r>
      </text>
    </comment>
    <comment ref="C21" authorId="0">
      <text>
        <r>
          <rPr>
            <sz val="10"/>
            <rFont val="Tahoma"/>
            <family val="2"/>
          </rPr>
          <t>Force applied parallel to poling field</t>
        </r>
      </text>
    </comment>
    <comment ref="C22" authorId="0">
      <text>
        <r>
          <rPr>
            <sz val="10"/>
            <rFont val="Tahoma"/>
            <family val="2"/>
          </rPr>
          <t>Force applied parallel to poling field and parallel to electrodes. Only relevant for parts in shear configuration</t>
        </r>
      </text>
    </comment>
    <comment ref="C17" authorId="0">
      <text>
        <r>
          <rPr>
            <sz val="10"/>
            <rFont val="Tahoma"/>
            <family val="2"/>
          </rPr>
          <t xml:space="preserve">Voltage applied between the part's two electrodes </t>
        </r>
      </text>
    </comment>
    <comment ref="C12" authorId="0">
      <text>
        <r>
          <rPr>
            <sz val="10"/>
            <rFont val="Tahoma"/>
            <family val="2"/>
          </rPr>
          <t>Disc, Ring, Tube   : OD
Plate                        : L</t>
        </r>
      </text>
    </comment>
    <comment ref="C13" authorId="1">
      <text>
        <r>
          <rPr>
            <sz val="10"/>
            <rFont val="Tahoma"/>
            <family val="2"/>
          </rPr>
          <t>Disc, Ring, Tube   : ID
Plate                        : W</t>
        </r>
        <r>
          <rPr>
            <sz val="8"/>
            <rFont val="Tahoma"/>
            <family val="0"/>
          </rPr>
          <t xml:space="preserve">
</t>
        </r>
      </text>
    </comment>
    <comment ref="C14" authorId="1">
      <text>
        <r>
          <rPr>
            <sz val="10"/>
            <rFont val="Tahoma"/>
            <family val="2"/>
          </rPr>
          <t>Disc, Ring, Plate   : Th
Tube                           : L</t>
        </r>
      </text>
    </comment>
    <comment ref="H26" authorId="0">
      <text>
        <r>
          <rPr>
            <sz val="10"/>
            <rFont val="Tahoma"/>
            <family val="2"/>
          </rPr>
          <t xml:space="preserve">Output voltage between electrodes if a "planar force" is applied on diameter or length
</t>
        </r>
      </text>
    </comment>
    <comment ref="H27" authorId="0">
      <text>
        <r>
          <rPr>
            <sz val="10"/>
            <rFont val="Tahoma"/>
            <family val="2"/>
          </rPr>
          <t>Output voltage between electrodes if "planar force" is applied in width direction
Only relevant for plates</t>
        </r>
      </text>
    </comment>
    <comment ref="H28" authorId="0">
      <text>
        <r>
          <rPr>
            <sz val="10"/>
            <rFont val="Tahoma"/>
            <family val="2"/>
          </rPr>
          <t>Output voltage between electrodes if a "thickness force" is applied in the thickness or heigth  (tubes) direction</t>
        </r>
      </text>
    </comment>
    <comment ref="H29" authorId="0">
      <text>
        <r>
          <rPr>
            <sz val="10"/>
            <rFont val="Tahoma"/>
            <family val="2"/>
          </rPr>
          <t xml:space="preserve">Output voltage between electrodes if "shear force" is applied on a shear part.
</t>
        </r>
      </text>
    </comment>
  </commentList>
</comments>
</file>

<file path=xl/sharedStrings.xml><?xml version="1.0" encoding="utf-8"?>
<sst xmlns="http://schemas.openxmlformats.org/spreadsheetml/2006/main" count="1039" uniqueCount="290">
  <si>
    <t>mm</t>
  </si>
  <si>
    <t>Calculation of tubes</t>
  </si>
  <si>
    <t>pF</t>
  </si>
  <si>
    <t>kHz</t>
  </si>
  <si>
    <t>Calculation of discs</t>
  </si>
  <si>
    <t>Thickness resonance</t>
  </si>
  <si>
    <t>Symbol</t>
  </si>
  <si>
    <t>Unit</t>
  </si>
  <si>
    <t>Pz21</t>
  </si>
  <si>
    <t>Pz23</t>
  </si>
  <si>
    <t>Pz24</t>
  </si>
  <si>
    <t>Pz26</t>
  </si>
  <si>
    <t xml:space="preserve">Pz27 </t>
  </si>
  <si>
    <t>Pz28</t>
  </si>
  <si>
    <t>Pz29</t>
  </si>
  <si>
    <t>Pz34</t>
  </si>
  <si>
    <t>Pz35</t>
  </si>
  <si>
    <t>Pz46</t>
  </si>
  <si>
    <r>
      <t>e</t>
    </r>
    <r>
      <rPr>
        <vertAlign val="subscript"/>
        <sz val="10"/>
        <rFont val="Arial"/>
        <family val="2"/>
      </rPr>
      <t>1,r</t>
    </r>
    <r>
      <rPr>
        <i/>
        <vertAlign val="superscript"/>
        <sz val="10"/>
        <rFont val="Arial"/>
        <family val="2"/>
      </rPr>
      <t>X</t>
    </r>
  </si>
  <si>
    <r>
      <t>e</t>
    </r>
    <r>
      <rPr>
        <vertAlign val="subscript"/>
        <sz val="10"/>
        <rFont val="Arial"/>
        <family val="2"/>
      </rPr>
      <t>3,r</t>
    </r>
    <r>
      <rPr>
        <i/>
        <vertAlign val="superscript"/>
        <sz val="10"/>
        <rFont val="Arial"/>
        <family val="2"/>
      </rPr>
      <t>X</t>
    </r>
  </si>
  <si>
    <r>
      <t>e</t>
    </r>
    <r>
      <rPr>
        <vertAlign val="subscript"/>
        <sz val="10"/>
        <rFont val="Arial"/>
        <family val="2"/>
      </rPr>
      <t>1,r</t>
    </r>
    <r>
      <rPr>
        <i/>
        <vertAlign val="superscript"/>
        <sz val="10"/>
        <rFont val="Arial"/>
        <family val="2"/>
      </rPr>
      <t>S</t>
    </r>
  </si>
  <si>
    <r>
      <t>e</t>
    </r>
    <r>
      <rPr>
        <vertAlign val="subscript"/>
        <sz val="10"/>
        <rFont val="Arial"/>
        <family val="2"/>
      </rPr>
      <t>3,r</t>
    </r>
    <r>
      <rPr>
        <i/>
        <vertAlign val="superscript"/>
        <sz val="10"/>
        <rFont val="Arial"/>
        <family val="2"/>
      </rPr>
      <t>S</t>
    </r>
  </si>
  <si>
    <r>
      <t xml:space="preserve">tan </t>
    </r>
    <r>
      <rPr>
        <i/>
        <sz val="10"/>
        <rFont val="Symbol"/>
        <family val="1"/>
      </rPr>
      <t>d</t>
    </r>
    <r>
      <rPr>
        <sz val="10"/>
        <rFont val="Arial"/>
        <family val="0"/>
      </rPr>
      <t xml:space="preserve"> (</t>
    </r>
    <r>
      <rPr>
        <vertAlign val="subscript"/>
        <sz val="10"/>
        <rFont val="Arial"/>
        <family val="2"/>
      </rPr>
      <t>3</t>
    </r>
    <r>
      <rPr>
        <i/>
        <vertAlign val="superscript"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</si>
  <si>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&gt;</t>
    </r>
  </si>
  <si>
    <t>ºC</t>
  </si>
  <si>
    <r>
      <t>k</t>
    </r>
    <r>
      <rPr>
        <vertAlign val="subscript"/>
        <sz val="10"/>
        <rFont val="Arial"/>
        <family val="2"/>
      </rPr>
      <t>p</t>
    </r>
  </si>
  <si>
    <r>
      <t>k</t>
    </r>
    <r>
      <rPr>
        <vertAlign val="subscript"/>
        <sz val="10"/>
        <rFont val="Arial"/>
        <family val="2"/>
      </rPr>
      <t>t</t>
    </r>
  </si>
  <si>
    <r>
      <t>k</t>
    </r>
    <r>
      <rPr>
        <vertAlign val="subscript"/>
        <sz val="10"/>
        <rFont val="Arial"/>
        <family val="2"/>
      </rPr>
      <t>31</t>
    </r>
  </si>
  <si>
    <r>
      <t>k</t>
    </r>
    <r>
      <rPr>
        <vertAlign val="subscript"/>
        <sz val="10"/>
        <rFont val="Arial"/>
        <family val="2"/>
      </rPr>
      <t>33</t>
    </r>
  </si>
  <si>
    <r>
      <t>k</t>
    </r>
    <r>
      <rPr>
        <vertAlign val="subscript"/>
        <sz val="10"/>
        <rFont val="Arial"/>
        <family val="2"/>
      </rPr>
      <t>15</t>
    </r>
  </si>
  <si>
    <r>
      <t>d</t>
    </r>
    <r>
      <rPr>
        <vertAlign val="subscript"/>
        <sz val="10"/>
        <rFont val="Arial"/>
        <family val="2"/>
      </rPr>
      <t>31</t>
    </r>
  </si>
  <si>
    <t>C/N</t>
  </si>
  <si>
    <r>
      <t>d</t>
    </r>
    <r>
      <rPr>
        <vertAlign val="subscript"/>
        <sz val="10"/>
        <rFont val="Arial"/>
        <family val="2"/>
      </rPr>
      <t>33</t>
    </r>
  </si>
  <si>
    <r>
      <t>d</t>
    </r>
    <r>
      <rPr>
        <vertAlign val="subscript"/>
        <sz val="10"/>
        <rFont val="Arial"/>
        <family val="2"/>
      </rPr>
      <t>15</t>
    </r>
  </si>
  <si>
    <r>
      <t>d</t>
    </r>
    <r>
      <rPr>
        <vertAlign val="subscript"/>
        <sz val="10"/>
        <rFont val="Arial"/>
        <family val="2"/>
      </rPr>
      <t>h</t>
    </r>
  </si>
  <si>
    <r>
      <t>g</t>
    </r>
    <r>
      <rPr>
        <vertAlign val="subscript"/>
        <sz val="10"/>
        <rFont val="Arial"/>
        <family val="2"/>
      </rPr>
      <t>31</t>
    </r>
  </si>
  <si>
    <t>V m/N</t>
  </si>
  <si>
    <r>
      <t>g</t>
    </r>
    <r>
      <rPr>
        <vertAlign val="subscript"/>
        <sz val="10"/>
        <rFont val="Arial"/>
        <family val="2"/>
      </rPr>
      <t>33</t>
    </r>
  </si>
  <si>
    <r>
      <t>g</t>
    </r>
    <r>
      <rPr>
        <vertAlign val="subscript"/>
        <sz val="10"/>
        <rFont val="Arial"/>
        <family val="2"/>
      </rPr>
      <t>15</t>
    </r>
  </si>
  <si>
    <r>
      <t>e</t>
    </r>
    <r>
      <rPr>
        <vertAlign val="subscript"/>
        <sz val="10"/>
        <rFont val="Arial"/>
        <family val="2"/>
      </rPr>
      <t>31</t>
    </r>
  </si>
  <si>
    <r>
      <t>e</t>
    </r>
    <r>
      <rPr>
        <vertAlign val="subscript"/>
        <sz val="10"/>
        <rFont val="Arial"/>
        <family val="2"/>
      </rPr>
      <t>33</t>
    </r>
  </si>
  <si>
    <r>
      <t>e</t>
    </r>
    <r>
      <rPr>
        <vertAlign val="subscript"/>
        <sz val="10"/>
        <rFont val="Arial"/>
        <family val="2"/>
      </rPr>
      <t>15</t>
    </r>
  </si>
  <si>
    <r>
      <t>h</t>
    </r>
    <r>
      <rPr>
        <vertAlign val="subscript"/>
        <sz val="10"/>
        <rFont val="Arial"/>
        <family val="2"/>
      </rPr>
      <t>31</t>
    </r>
  </si>
  <si>
    <t>V/m</t>
  </si>
  <si>
    <r>
      <t>h</t>
    </r>
    <r>
      <rPr>
        <vertAlign val="subscript"/>
        <sz val="10"/>
        <rFont val="Arial"/>
        <family val="2"/>
      </rPr>
      <t>33</t>
    </r>
  </si>
  <si>
    <r>
      <t>h</t>
    </r>
    <r>
      <rPr>
        <vertAlign val="subscript"/>
        <sz val="10"/>
        <rFont val="Arial"/>
        <family val="2"/>
      </rPr>
      <t>15</t>
    </r>
  </si>
  <si>
    <r>
      <t>N</t>
    </r>
    <r>
      <rPr>
        <vertAlign val="subscript"/>
        <sz val="10"/>
        <rFont val="Arial"/>
        <family val="2"/>
      </rPr>
      <t>p</t>
    </r>
  </si>
  <si>
    <t>m/s</t>
  </si>
  <si>
    <r>
      <t>N</t>
    </r>
    <r>
      <rPr>
        <vertAlign val="subscript"/>
        <sz val="10"/>
        <rFont val="Arial"/>
        <family val="2"/>
      </rPr>
      <t>t</t>
    </r>
  </si>
  <si>
    <r>
      <t>N</t>
    </r>
    <r>
      <rPr>
        <vertAlign val="subscript"/>
        <sz val="10"/>
        <rFont val="Arial"/>
        <family val="2"/>
      </rPr>
      <t>31</t>
    </r>
  </si>
  <si>
    <r>
      <t>N</t>
    </r>
    <r>
      <rPr>
        <vertAlign val="subscript"/>
        <sz val="10"/>
        <rFont val="Arial"/>
        <family val="2"/>
      </rPr>
      <t>33</t>
    </r>
  </si>
  <si>
    <r>
      <t>N</t>
    </r>
    <r>
      <rPr>
        <vertAlign val="subscript"/>
        <sz val="10"/>
        <rFont val="Arial"/>
        <family val="2"/>
      </rPr>
      <t>15</t>
    </r>
  </si>
  <si>
    <r>
      <t>Q</t>
    </r>
    <r>
      <rPr>
        <vertAlign val="subscript"/>
        <sz val="10"/>
        <rFont val="Arial"/>
        <family val="2"/>
      </rPr>
      <t>m,p</t>
    </r>
  </si>
  <si>
    <r>
      <t>Q</t>
    </r>
    <r>
      <rPr>
        <vertAlign val="subscript"/>
        <sz val="10"/>
        <rFont val="Arial"/>
        <family val="2"/>
      </rPr>
      <t>m,t</t>
    </r>
  </si>
  <si>
    <t>r</t>
  </si>
  <si>
    <r>
      <t>s</t>
    </r>
    <r>
      <rPr>
        <i/>
        <vertAlign val="superscript"/>
        <sz val="10"/>
        <rFont val="Arial"/>
        <family val="2"/>
      </rPr>
      <t>E</t>
    </r>
  </si>
  <si>
    <r>
      <t>s</t>
    </r>
    <r>
      <rPr>
        <vertAlign val="subscript"/>
        <sz val="10"/>
        <rFont val="Arial"/>
        <family val="2"/>
      </rPr>
      <t>11</t>
    </r>
    <r>
      <rPr>
        <i/>
        <vertAlign val="superscript"/>
        <sz val="10"/>
        <rFont val="Arial"/>
        <family val="2"/>
      </rPr>
      <t>E</t>
    </r>
  </si>
  <si>
    <r>
      <t>s</t>
    </r>
    <r>
      <rPr>
        <vertAlign val="subscript"/>
        <sz val="10"/>
        <rFont val="Arial"/>
        <family val="2"/>
      </rPr>
      <t>12</t>
    </r>
    <r>
      <rPr>
        <i/>
        <vertAlign val="superscript"/>
        <sz val="10"/>
        <rFont val="Arial"/>
        <family val="2"/>
      </rPr>
      <t>E</t>
    </r>
  </si>
  <si>
    <r>
      <t>s</t>
    </r>
    <r>
      <rPr>
        <vertAlign val="subscript"/>
        <sz val="10"/>
        <rFont val="Arial"/>
        <family val="2"/>
      </rPr>
      <t>13</t>
    </r>
    <r>
      <rPr>
        <i/>
        <vertAlign val="superscript"/>
        <sz val="10"/>
        <rFont val="Arial"/>
        <family val="2"/>
      </rPr>
      <t>E</t>
    </r>
  </si>
  <si>
    <r>
      <t>s</t>
    </r>
    <r>
      <rPr>
        <vertAlign val="subscript"/>
        <sz val="10"/>
        <rFont val="Arial"/>
        <family val="2"/>
      </rPr>
      <t>33</t>
    </r>
    <r>
      <rPr>
        <i/>
        <vertAlign val="superscript"/>
        <sz val="10"/>
        <rFont val="Arial"/>
        <family val="2"/>
      </rPr>
      <t>E</t>
    </r>
  </si>
  <si>
    <r>
      <t>s</t>
    </r>
    <r>
      <rPr>
        <vertAlign val="subscript"/>
        <sz val="10"/>
        <rFont val="Arial"/>
        <family val="2"/>
      </rPr>
      <t>44</t>
    </r>
    <r>
      <rPr>
        <i/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s</t>
    </r>
    <r>
      <rPr>
        <vertAlign val="subscript"/>
        <sz val="10"/>
        <rFont val="Arial"/>
        <family val="2"/>
      </rPr>
      <t>55</t>
    </r>
    <r>
      <rPr>
        <i/>
        <vertAlign val="superscript"/>
        <sz val="10"/>
        <rFont val="Arial"/>
        <family val="2"/>
      </rPr>
      <t>E</t>
    </r>
  </si>
  <si>
    <r>
      <t>s</t>
    </r>
    <r>
      <rPr>
        <vertAlign val="subscript"/>
        <sz val="10"/>
        <rFont val="Arial"/>
        <family val="2"/>
      </rPr>
      <t>66</t>
    </r>
  </si>
  <si>
    <r>
      <t>s</t>
    </r>
    <r>
      <rPr>
        <vertAlign val="subscript"/>
        <sz val="10"/>
        <rFont val="Arial"/>
        <family val="2"/>
      </rPr>
      <t>11</t>
    </r>
    <r>
      <rPr>
        <i/>
        <vertAlign val="superscript"/>
        <sz val="10"/>
        <rFont val="Arial"/>
        <family val="2"/>
      </rPr>
      <t>D</t>
    </r>
  </si>
  <si>
    <r>
      <t>s</t>
    </r>
    <r>
      <rPr>
        <vertAlign val="subscript"/>
        <sz val="10"/>
        <rFont val="Arial"/>
        <family val="2"/>
      </rPr>
      <t>12</t>
    </r>
    <r>
      <rPr>
        <i/>
        <vertAlign val="superscript"/>
        <sz val="10"/>
        <rFont val="Arial"/>
        <family val="2"/>
      </rPr>
      <t>D</t>
    </r>
  </si>
  <si>
    <r>
      <t>s</t>
    </r>
    <r>
      <rPr>
        <vertAlign val="subscript"/>
        <sz val="10"/>
        <rFont val="Arial"/>
        <family val="2"/>
      </rPr>
      <t>13</t>
    </r>
    <r>
      <rPr>
        <i/>
        <vertAlign val="superscript"/>
        <sz val="10"/>
        <rFont val="Arial"/>
        <family val="2"/>
      </rPr>
      <t>D</t>
    </r>
  </si>
  <si>
    <r>
      <t>s</t>
    </r>
    <r>
      <rPr>
        <vertAlign val="subscript"/>
        <sz val="10"/>
        <rFont val="Arial"/>
        <family val="2"/>
      </rPr>
      <t>33</t>
    </r>
    <r>
      <rPr>
        <i/>
        <vertAlign val="superscript"/>
        <sz val="10"/>
        <rFont val="Arial"/>
        <family val="2"/>
      </rPr>
      <t>D</t>
    </r>
  </si>
  <si>
    <r>
      <t>s</t>
    </r>
    <r>
      <rPr>
        <vertAlign val="subscript"/>
        <sz val="10"/>
        <rFont val="Arial"/>
        <family val="2"/>
      </rPr>
      <t>44</t>
    </r>
    <r>
      <rPr>
        <i/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s</t>
    </r>
    <r>
      <rPr>
        <vertAlign val="subscript"/>
        <sz val="10"/>
        <rFont val="Arial"/>
        <family val="2"/>
      </rPr>
      <t>55</t>
    </r>
    <r>
      <rPr>
        <i/>
        <vertAlign val="superscript"/>
        <sz val="10"/>
        <rFont val="Arial"/>
        <family val="2"/>
      </rPr>
      <t>D</t>
    </r>
  </si>
  <si>
    <r>
      <t>c</t>
    </r>
    <r>
      <rPr>
        <vertAlign val="subscript"/>
        <sz val="10"/>
        <rFont val="Arial"/>
        <family val="2"/>
      </rPr>
      <t>11</t>
    </r>
    <r>
      <rPr>
        <i/>
        <vertAlign val="super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</si>
  <si>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12</t>
    </r>
    <r>
      <rPr>
        <i/>
        <vertAlign val="super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</si>
  <si>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13</t>
    </r>
    <r>
      <rPr>
        <i/>
        <vertAlign val="super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</si>
  <si>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33</t>
    </r>
    <r>
      <rPr>
        <i/>
        <vertAlign val="super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</si>
  <si>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44</t>
    </r>
    <r>
      <rPr>
        <i/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= </t>
    </r>
    <r>
      <rPr>
        <i/>
        <sz val="10"/>
        <rFont val="Arial"/>
        <family val="2"/>
      </rPr>
      <t>c</t>
    </r>
    <r>
      <rPr>
        <vertAlign val="subscript"/>
        <sz val="10"/>
        <rFont val="Arial"/>
        <family val="2"/>
      </rPr>
      <t>55</t>
    </r>
    <r>
      <rPr>
        <i/>
        <vertAlign val="super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</si>
  <si>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66</t>
    </r>
  </si>
  <si>
    <r>
      <t>c</t>
    </r>
    <r>
      <rPr>
        <vertAlign val="subscript"/>
        <sz val="10"/>
        <rFont val="Arial"/>
        <family val="2"/>
      </rPr>
      <t>11</t>
    </r>
    <r>
      <rPr>
        <i/>
        <vertAlign val="superscript"/>
        <sz val="10"/>
        <rFont val="Arial"/>
        <family val="2"/>
      </rPr>
      <t>D</t>
    </r>
  </si>
  <si>
    <r>
      <t>c</t>
    </r>
    <r>
      <rPr>
        <vertAlign val="subscript"/>
        <sz val="10"/>
        <rFont val="Arial"/>
        <family val="2"/>
      </rPr>
      <t>12</t>
    </r>
    <r>
      <rPr>
        <i/>
        <vertAlign val="superscript"/>
        <sz val="10"/>
        <rFont val="Arial"/>
        <family val="2"/>
      </rPr>
      <t>D</t>
    </r>
  </si>
  <si>
    <r>
      <t>c</t>
    </r>
    <r>
      <rPr>
        <vertAlign val="subscript"/>
        <sz val="10"/>
        <rFont val="Arial"/>
        <family val="2"/>
      </rPr>
      <t>13</t>
    </r>
    <r>
      <rPr>
        <i/>
        <vertAlign val="superscript"/>
        <sz val="10"/>
        <rFont val="Arial"/>
        <family val="2"/>
      </rPr>
      <t>D</t>
    </r>
  </si>
  <si>
    <r>
      <t>c</t>
    </r>
    <r>
      <rPr>
        <vertAlign val="subscript"/>
        <sz val="10"/>
        <rFont val="Arial"/>
        <family val="2"/>
      </rPr>
      <t>33</t>
    </r>
    <r>
      <rPr>
        <i/>
        <vertAlign val="superscript"/>
        <sz val="10"/>
        <rFont val="Arial"/>
        <family val="2"/>
      </rPr>
      <t>D</t>
    </r>
  </si>
  <si>
    <r>
      <t>c</t>
    </r>
    <r>
      <rPr>
        <vertAlign val="subscript"/>
        <sz val="10"/>
        <rFont val="Arial"/>
        <family val="2"/>
      </rPr>
      <t>44</t>
    </r>
    <r>
      <rPr>
        <i/>
        <vertAlign val="superscript"/>
        <sz val="10"/>
        <rFont val="Arial"/>
        <family val="2"/>
      </rPr>
      <t xml:space="preserve">D </t>
    </r>
    <r>
      <rPr>
        <sz val="10"/>
        <rFont val="Arial"/>
        <family val="2"/>
      </rPr>
      <t xml:space="preserve">= </t>
    </r>
    <r>
      <rPr>
        <i/>
        <sz val="10"/>
        <rFont val="Arial"/>
        <family val="2"/>
      </rPr>
      <t>c</t>
    </r>
    <r>
      <rPr>
        <vertAlign val="subscript"/>
        <sz val="10"/>
        <rFont val="Arial"/>
        <family val="2"/>
      </rPr>
      <t>55</t>
    </r>
    <r>
      <rPr>
        <i/>
        <vertAlign val="superscript"/>
        <sz val="10"/>
        <rFont val="Arial"/>
        <family val="2"/>
      </rPr>
      <t>D</t>
    </r>
  </si>
  <si>
    <r>
      <t>Y</t>
    </r>
    <r>
      <rPr>
        <vertAlign val="subscript"/>
        <sz val="10"/>
        <rFont val="Arial"/>
        <family val="2"/>
      </rPr>
      <t>11</t>
    </r>
    <r>
      <rPr>
        <i/>
        <vertAlign val="superscript"/>
        <sz val="10"/>
        <rFont val="Arial"/>
        <family val="2"/>
      </rPr>
      <t>E</t>
    </r>
  </si>
  <si>
    <t>GPa</t>
  </si>
  <si>
    <r>
      <t>Y</t>
    </r>
    <r>
      <rPr>
        <vertAlign val="subscript"/>
        <sz val="10"/>
        <rFont val="Arial"/>
        <family val="2"/>
      </rPr>
      <t>33</t>
    </r>
    <r>
      <rPr>
        <i/>
        <vertAlign val="superscript"/>
        <sz val="10"/>
        <rFont val="Arial"/>
        <family val="2"/>
      </rPr>
      <t>E</t>
    </r>
  </si>
  <si>
    <r>
      <t>Y</t>
    </r>
    <r>
      <rPr>
        <vertAlign val="subscript"/>
        <sz val="10"/>
        <rFont val="Arial"/>
        <family val="2"/>
      </rPr>
      <t>11</t>
    </r>
    <r>
      <rPr>
        <i/>
        <vertAlign val="superscript"/>
        <sz val="10"/>
        <rFont val="Arial"/>
        <family val="2"/>
      </rPr>
      <t>D</t>
    </r>
  </si>
  <si>
    <r>
      <t>Y</t>
    </r>
    <r>
      <rPr>
        <vertAlign val="subscript"/>
        <sz val="10"/>
        <rFont val="Arial"/>
        <family val="2"/>
      </rPr>
      <t>33</t>
    </r>
    <r>
      <rPr>
        <i/>
        <vertAlign val="superscript"/>
        <sz val="10"/>
        <rFont val="Arial"/>
        <family val="2"/>
      </rPr>
      <t>D</t>
    </r>
  </si>
  <si>
    <t>Select your material</t>
  </si>
  <si>
    <t>Materials</t>
  </si>
  <si>
    <t>Valgt materiale</t>
  </si>
  <si>
    <t>Select shape</t>
  </si>
  <si>
    <t>Shape</t>
  </si>
  <si>
    <t>Disc</t>
  </si>
  <si>
    <t>Ring</t>
  </si>
  <si>
    <t>Plate</t>
  </si>
  <si>
    <t>Tube</t>
  </si>
  <si>
    <t>Shear Tube</t>
  </si>
  <si>
    <t>Shear Plate</t>
  </si>
  <si>
    <t>Value</t>
  </si>
  <si>
    <r>
      <t>C/m</t>
    </r>
    <r>
      <rPr>
        <vertAlign val="superscript"/>
        <sz val="10"/>
        <rFont val="Arial"/>
        <family val="2"/>
      </rPr>
      <t>2</t>
    </r>
  </si>
  <si>
    <r>
      <t>kg/m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</si>
  <si>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/N</t>
    </r>
  </si>
  <si>
    <r>
      <t>N/m</t>
    </r>
    <r>
      <rPr>
        <vertAlign val="superscript"/>
        <sz val="10"/>
        <rFont val="Arial"/>
        <family val="2"/>
      </rPr>
      <t>2</t>
    </r>
  </si>
  <si>
    <t>Tabel for materialerkonstanter</t>
  </si>
  <si>
    <t>N_TH</t>
  </si>
  <si>
    <t>Relevante konstanter</t>
  </si>
  <si>
    <t>Beregninger</t>
  </si>
  <si>
    <t>Capasitet at 1 kHz</t>
  </si>
  <si>
    <t>Planar Resonance</t>
  </si>
  <si>
    <t>Dimensioner</t>
  </si>
  <si>
    <t>Voltage</t>
  </si>
  <si>
    <t>Static Signal</t>
  </si>
  <si>
    <t>Dimensions</t>
  </si>
  <si>
    <t>Static Displacement</t>
  </si>
  <si>
    <t>delta r</t>
  </si>
  <si>
    <t>delta t</t>
  </si>
  <si>
    <t>U_ thickness force</t>
  </si>
  <si>
    <t>U_ planar force</t>
  </si>
  <si>
    <t>Volts</t>
  </si>
  <si>
    <t>Newton</t>
  </si>
  <si>
    <t>m</t>
  </si>
  <si>
    <t>micron</t>
  </si>
  <si>
    <t>Applied Planar Force</t>
  </si>
  <si>
    <t>Applied Thickness Force</t>
  </si>
  <si>
    <t>Medium Diameter res</t>
  </si>
  <si>
    <t>Length resonance</t>
  </si>
  <si>
    <t>Valgt Geometri</t>
  </si>
  <si>
    <t>Geometri</t>
  </si>
  <si>
    <t>Dim 1</t>
  </si>
  <si>
    <t>Dim 2</t>
  </si>
  <si>
    <t>Dim 3</t>
  </si>
  <si>
    <t>Lenth resonance</t>
  </si>
  <si>
    <t>With resonace</t>
  </si>
  <si>
    <t>delta dim 1</t>
  </si>
  <si>
    <t>delta dim 2</t>
  </si>
  <si>
    <t>U_ planar 1</t>
  </si>
  <si>
    <t>U planar 2</t>
  </si>
  <si>
    <t>volts</t>
  </si>
  <si>
    <t>delta l</t>
  </si>
  <si>
    <t>microns</t>
  </si>
  <si>
    <t>U_ shear</t>
  </si>
  <si>
    <t>Applied Shear Force</t>
  </si>
  <si>
    <t>delta L</t>
  </si>
  <si>
    <t>Beregningsark for konstanter</t>
  </si>
  <si>
    <t>N_MD-tube</t>
  </si>
  <si>
    <t>N_MD-ring</t>
  </si>
  <si>
    <t>Kontrol for både kraft og spænding</t>
  </si>
  <si>
    <t>1= sand , 0= falsk</t>
  </si>
  <si>
    <t>Spænding</t>
  </si>
  <si>
    <t>Kraft</t>
  </si>
  <si>
    <t>Beregning af Elektrisk felt</t>
  </si>
  <si>
    <t>Dimension</t>
  </si>
  <si>
    <t>felt</t>
  </si>
  <si>
    <t>Volt</t>
  </si>
  <si>
    <t>Volt/mm</t>
  </si>
  <si>
    <t>Forhindring af dim2 ved disc</t>
  </si>
  <si>
    <t>Disc valgt?</t>
  </si>
  <si>
    <t>Dim 2 = 0</t>
  </si>
  <si>
    <t>sum</t>
  </si>
  <si>
    <t>Capacity at 1 kHz</t>
  </si>
  <si>
    <r>
      <t>D</t>
    </r>
    <r>
      <rPr>
        <vertAlign val="subscript"/>
        <sz val="10"/>
        <rFont val="Arial"/>
        <family val="2"/>
      </rPr>
      <t>radius</t>
    </r>
  </si>
  <si>
    <r>
      <t>D</t>
    </r>
    <r>
      <rPr>
        <vertAlign val="subscript"/>
        <sz val="10"/>
        <rFont val="Arial"/>
        <family val="2"/>
      </rPr>
      <t>thickness</t>
    </r>
  </si>
  <si>
    <t xml:space="preserve">Voltage output  </t>
  </si>
  <si>
    <r>
      <t>D</t>
    </r>
    <r>
      <rPr>
        <vertAlign val="subscript"/>
        <sz val="10"/>
        <rFont val="Arial"/>
        <family val="2"/>
      </rPr>
      <t>length</t>
    </r>
  </si>
  <si>
    <r>
      <t>D</t>
    </r>
    <r>
      <rPr>
        <vertAlign val="subscript"/>
        <sz val="10"/>
        <rFont val="Arial"/>
        <family val="2"/>
      </rPr>
      <t>width</t>
    </r>
  </si>
  <si>
    <r>
      <t>U</t>
    </r>
    <r>
      <rPr>
        <vertAlign val="subscript"/>
        <sz val="10"/>
        <rFont val="Arial"/>
        <family val="2"/>
      </rPr>
      <t>shear force</t>
    </r>
  </si>
  <si>
    <t>U_ shear force</t>
  </si>
  <si>
    <t>Calculation of rings</t>
  </si>
  <si>
    <t>Calculation of plates</t>
  </si>
  <si>
    <t>Calculation of shear plates</t>
  </si>
  <si>
    <t>Calculation of shear tubes</t>
  </si>
  <si>
    <t>Public Domain.</t>
  </si>
  <si>
    <t>Pz27</t>
  </si>
  <si>
    <r>
      <t>D</t>
    </r>
    <r>
      <rPr>
        <vertAlign val="subscript"/>
        <sz val="10"/>
        <rFont val="Arial"/>
        <family val="2"/>
      </rPr>
      <t>heigth</t>
    </r>
  </si>
  <si>
    <t>N/A</t>
  </si>
  <si>
    <t>Possible resonances</t>
  </si>
  <si>
    <t>Planar</t>
  </si>
  <si>
    <t>Thickness</t>
  </si>
  <si>
    <t xml:space="preserve">Medium Diameter </t>
  </si>
  <si>
    <t xml:space="preserve">Wall Thickness </t>
  </si>
  <si>
    <t>Length</t>
  </si>
  <si>
    <t>Width</t>
  </si>
  <si>
    <t>Shear</t>
  </si>
  <si>
    <t>Back to calculator</t>
  </si>
  <si>
    <t>Results</t>
  </si>
  <si>
    <t>volt</t>
  </si>
  <si>
    <r>
      <t>D</t>
    </r>
    <r>
      <rPr>
        <vertAlign val="subscript"/>
        <sz val="12"/>
        <rFont val="Arial"/>
        <family val="2"/>
      </rPr>
      <t>radius</t>
    </r>
  </si>
  <si>
    <r>
      <t>D</t>
    </r>
    <r>
      <rPr>
        <vertAlign val="subscript"/>
        <sz val="12"/>
        <rFont val="Arial"/>
        <family val="2"/>
      </rPr>
      <t>thickness</t>
    </r>
  </si>
  <si>
    <r>
      <t>D</t>
    </r>
    <r>
      <rPr>
        <vertAlign val="subscript"/>
        <sz val="12"/>
        <rFont val="Arial"/>
        <family val="2"/>
      </rPr>
      <t>length</t>
    </r>
  </si>
  <si>
    <r>
      <t>D</t>
    </r>
    <r>
      <rPr>
        <vertAlign val="subscript"/>
        <sz val="12"/>
        <rFont val="Arial"/>
        <family val="2"/>
      </rPr>
      <t>width</t>
    </r>
  </si>
  <si>
    <r>
      <t>U</t>
    </r>
    <r>
      <rPr>
        <vertAlign val="subscript"/>
        <sz val="12"/>
        <rFont val="Arial"/>
        <family val="2"/>
      </rPr>
      <t>length force</t>
    </r>
  </si>
  <si>
    <r>
      <t>U</t>
    </r>
    <r>
      <rPr>
        <vertAlign val="subscript"/>
        <sz val="12"/>
        <rFont val="Arial"/>
        <family val="2"/>
      </rPr>
      <t>width force</t>
    </r>
  </si>
  <si>
    <r>
      <t>U</t>
    </r>
    <r>
      <rPr>
        <vertAlign val="subscript"/>
        <sz val="12"/>
        <rFont val="Arial"/>
        <family val="2"/>
      </rPr>
      <t>thickness force</t>
    </r>
  </si>
  <si>
    <r>
      <t>m</t>
    </r>
    <r>
      <rPr>
        <sz val="12"/>
        <rFont val="Arial"/>
        <family val="0"/>
      </rPr>
      <t>m</t>
    </r>
  </si>
  <si>
    <t>Simple geometries with fully covering electrodes.</t>
  </si>
  <si>
    <t>No cross-coupling between two resonances close to each other.</t>
  </si>
  <si>
    <t>All results should therefore only be used as general guidelines in the design phase.</t>
  </si>
  <si>
    <t>The main assumptions are:</t>
  </si>
  <si>
    <t>To obtain the highest possible accuracy in calculations</t>
  </si>
  <si>
    <t>Notes regarding Ferroperm Piezoelectric calculator</t>
  </si>
  <si>
    <t>Input Data</t>
  </si>
  <si>
    <t>FERROPERM Piezoelectric Calculator</t>
  </si>
  <si>
    <t>Parts are vibrating freely and have no stress in other directions than the selected.</t>
  </si>
  <si>
    <r>
      <t>m</t>
    </r>
    <r>
      <rPr>
        <sz val="10"/>
        <rFont val="Arial"/>
        <family val="0"/>
      </rPr>
      <t xml:space="preserve"> m</t>
    </r>
  </si>
  <si>
    <t>Regressioner</t>
  </si>
  <si>
    <r>
      <t>e</t>
    </r>
    <r>
      <rPr>
        <vertAlign val="subscript"/>
        <sz val="10"/>
        <color indexed="8"/>
        <rFont val="Arial"/>
        <family val="2"/>
      </rPr>
      <t>1,r</t>
    </r>
    <r>
      <rPr>
        <i/>
        <vertAlign val="superscript"/>
        <sz val="10"/>
        <color indexed="8"/>
        <rFont val="Arial"/>
        <family val="2"/>
      </rPr>
      <t>X</t>
    </r>
  </si>
  <si>
    <r>
      <t>e</t>
    </r>
    <r>
      <rPr>
        <vertAlign val="subscript"/>
        <sz val="10"/>
        <color indexed="8"/>
        <rFont val="Arial"/>
        <family val="2"/>
      </rPr>
      <t>3,r</t>
    </r>
    <r>
      <rPr>
        <i/>
        <vertAlign val="superscript"/>
        <sz val="10"/>
        <color indexed="8"/>
        <rFont val="Arial"/>
        <family val="2"/>
      </rPr>
      <t>X</t>
    </r>
  </si>
  <si>
    <r>
      <t>e</t>
    </r>
    <r>
      <rPr>
        <vertAlign val="subscript"/>
        <sz val="10"/>
        <color indexed="8"/>
        <rFont val="Arial"/>
        <family val="2"/>
      </rPr>
      <t>1,r</t>
    </r>
    <r>
      <rPr>
        <i/>
        <vertAlign val="superscript"/>
        <sz val="10"/>
        <color indexed="8"/>
        <rFont val="Arial"/>
        <family val="2"/>
      </rPr>
      <t>S</t>
    </r>
  </si>
  <si>
    <r>
      <t>e</t>
    </r>
    <r>
      <rPr>
        <vertAlign val="subscript"/>
        <sz val="10"/>
        <color indexed="8"/>
        <rFont val="Arial"/>
        <family val="2"/>
      </rPr>
      <t>3,r</t>
    </r>
    <r>
      <rPr>
        <i/>
        <vertAlign val="superscript"/>
        <sz val="10"/>
        <color indexed="8"/>
        <rFont val="Arial"/>
        <family val="2"/>
      </rPr>
      <t>S</t>
    </r>
  </si>
  <si>
    <r>
      <t xml:space="preserve">tan </t>
    </r>
    <r>
      <rPr>
        <i/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 xml:space="preserve"> (</t>
    </r>
    <r>
      <rPr>
        <vertAlign val="subscript"/>
        <sz val="10"/>
        <color indexed="8"/>
        <rFont val="Arial"/>
        <family val="2"/>
      </rPr>
      <t>3</t>
    </r>
    <r>
      <rPr>
        <i/>
        <vertAlign val="superscript"/>
        <sz val="10"/>
        <color indexed="8"/>
        <rFont val="Arial"/>
        <family val="2"/>
      </rPr>
      <t>X</t>
    </r>
    <r>
      <rPr>
        <sz val="10"/>
        <color indexed="8"/>
        <rFont val="Arial"/>
        <family val="0"/>
      </rPr>
      <t>)</t>
    </r>
  </si>
  <si>
    <r>
      <t>T</t>
    </r>
    <r>
      <rPr>
        <vertAlign val="subscript"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&gt;</t>
    </r>
  </si>
  <si>
    <r>
      <t>k</t>
    </r>
    <r>
      <rPr>
        <vertAlign val="subscript"/>
        <sz val="10"/>
        <color indexed="8"/>
        <rFont val="Arial"/>
        <family val="2"/>
      </rPr>
      <t>p</t>
    </r>
  </si>
  <si>
    <r>
      <t>k</t>
    </r>
    <r>
      <rPr>
        <vertAlign val="subscript"/>
        <sz val="10"/>
        <color indexed="8"/>
        <rFont val="Arial"/>
        <family val="2"/>
      </rPr>
      <t>t</t>
    </r>
  </si>
  <si>
    <r>
      <t>k</t>
    </r>
    <r>
      <rPr>
        <vertAlign val="subscript"/>
        <sz val="10"/>
        <color indexed="8"/>
        <rFont val="Arial"/>
        <family val="2"/>
      </rPr>
      <t>31</t>
    </r>
  </si>
  <si>
    <r>
      <t>k</t>
    </r>
    <r>
      <rPr>
        <vertAlign val="subscript"/>
        <sz val="10"/>
        <color indexed="8"/>
        <rFont val="Arial"/>
        <family val="2"/>
      </rPr>
      <t>33</t>
    </r>
  </si>
  <si>
    <r>
      <t>k</t>
    </r>
    <r>
      <rPr>
        <vertAlign val="subscript"/>
        <sz val="10"/>
        <color indexed="8"/>
        <rFont val="Arial"/>
        <family val="2"/>
      </rPr>
      <t>15</t>
    </r>
  </si>
  <si>
    <r>
      <t>d</t>
    </r>
    <r>
      <rPr>
        <vertAlign val="subscript"/>
        <sz val="10"/>
        <color indexed="8"/>
        <rFont val="Arial"/>
        <family val="2"/>
      </rPr>
      <t>31</t>
    </r>
  </si>
  <si>
    <r>
      <t>d</t>
    </r>
    <r>
      <rPr>
        <vertAlign val="subscript"/>
        <sz val="10"/>
        <color indexed="8"/>
        <rFont val="Arial"/>
        <family val="2"/>
      </rPr>
      <t>33</t>
    </r>
  </si>
  <si>
    <r>
      <t>d</t>
    </r>
    <r>
      <rPr>
        <vertAlign val="subscript"/>
        <sz val="10"/>
        <color indexed="8"/>
        <rFont val="Arial"/>
        <family val="2"/>
      </rPr>
      <t>15</t>
    </r>
  </si>
  <si>
    <r>
      <t>d</t>
    </r>
    <r>
      <rPr>
        <vertAlign val="subscript"/>
        <sz val="10"/>
        <color indexed="8"/>
        <rFont val="Arial"/>
        <family val="2"/>
      </rPr>
      <t>h</t>
    </r>
  </si>
  <si>
    <r>
      <t>g</t>
    </r>
    <r>
      <rPr>
        <vertAlign val="subscript"/>
        <sz val="10"/>
        <color indexed="8"/>
        <rFont val="Arial"/>
        <family val="2"/>
      </rPr>
      <t>31</t>
    </r>
  </si>
  <si>
    <r>
      <t>g</t>
    </r>
    <r>
      <rPr>
        <vertAlign val="subscript"/>
        <sz val="10"/>
        <color indexed="8"/>
        <rFont val="Arial"/>
        <family val="2"/>
      </rPr>
      <t>33</t>
    </r>
  </si>
  <si>
    <r>
      <t>g</t>
    </r>
    <r>
      <rPr>
        <vertAlign val="subscript"/>
        <sz val="10"/>
        <color indexed="8"/>
        <rFont val="Arial"/>
        <family val="2"/>
      </rPr>
      <t>15</t>
    </r>
  </si>
  <si>
    <r>
      <t>e</t>
    </r>
    <r>
      <rPr>
        <vertAlign val="subscript"/>
        <sz val="10"/>
        <color indexed="8"/>
        <rFont val="Arial"/>
        <family val="2"/>
      </rPr>
      <t>31</t>
    </r>
  </si>
  <si>
    <r>
      <t>e</t>
    </r>
    <r>
      <rPr>
        <vertAlign val="subscript"/>
        <sz val="10"/>
        <color indexed="8"/>
        <rFont val="Arial"/>
        <family val="2"/>
      </rPr>
      <t>33</t>
    </r>
  </si>
  <si>
    <r>
      <t>e</t>
    </r>
    <r>
      <rPr>
        <vertAlign val="subscript"/>
        <sz val="10"/>
        <color indexed="8"/>
        <rFont val="Arial"/>
        <family val="2"/>
      </rPr>
      <t>15</t>
    </r>
  </si>
  <si>
    <r>
      <t>h</t>
    </r>
    <r>
      <rPr>
        <vertAlign val="subscript"/>
        <sz val="10"/>
        <color indexed="8"/>
        <rFont val="Arial"/>
        <family val="2"/>
      </rPr>
      <t>31</t>
    </r>
  </si>
  <si>
    <r>
      <t>h</t>
    </r>
    <r>
      <rPr>
        <vertAlign val="subscript"/>
        <sz val="10"/>
        <color indexed="8"/>
        <rFont val="Arial"/>
        <family val="2"/>
      </rPr>
      <t>33</t>
    </r>
  </si>
  <si>
    <r>
      <t>h</t>
    </r>
    <r>
      <rPr>
        <vertAlign val="subscript"/>
        <sz val="10"/>
        <color indexed="8"/>
        <rFont val="Arial"/>
        <family val="2"/>
      </rPr>
      <t>15</t>
    </r>
  </si>
  <si>
    <r>
      <t>N</t>
    </r>
    <r>
      <rPr>
        <vertAlign val="subscript"/>
        <sz val="10"/>
        <color indexed="8"/>
        <rFont val="Arial"/>
        <family val="2"/>
      </rPr>
      <t>p</t>
    </r>
  </si>
  <si>
    <r>
      <t>N</t>
    </r>
    <r>
      <rPr>
        <vertAlign val="subscript"/>
        <sz val="10"/>
        <color indexed="8"/>
        <rFont val="Arial"/>
        <family val="2"/>
      </rPr>
      <t>t</t>
    </r>
  </si>
  <si>
    <r>
      <t>N</t>
    </r>
    <r>
      <rPr>
        <vertAlign val="subscript"/>
        <sz val="10"/>
        <color indexed="8"/>
        <rFont val="Arial"/>
        <family val="2"/>
      </rPr>
      <t>31</t>
    </r>
  </si>
  <si>
    <r>
      <t>N</t>
    </r>
    <r>
      <rPr>
        <vertAlign val="subscript"/>
        <sz val="10"/>
        <color indexed="8"/>
        <rFont val="Arial"/>
        <family val="2"/>
      </rPr>
      <t>33</t>
    </r>
  </si>
  <si>
    <r>
      <t>N</t>
    </r>
    <r>
      <rPr>
        <vertAlign val="subscript"/>
        <sz val="10"/>
        <color indexed="8"/>
        <rFont val="Arial"/>
        <family val="2"/>
      </rPr>
      <t>15</t>
    </r>
  </si>
  <si>
    <r>
      <t>Q</t>
    </r>
    <r>
      <rPr>
        <vertAlign val="subscript"/>
        <sz val="10"/>
        <color indexed="8"/>
        <rFont val="Arial"/>
        <family val="2"/>
      </rPr>
      <t>m,p</t>
    </r>
  </si>
  <si>
    <r>
      <t>Q</t>
    </r>
    <r>
      <rPr>
        <vertAlign val="subscript"/>
        <sz val="10"/>
        <color indexed="8"/>
        <rFont val="Arial"/>
        <family val="2"/>
      </rPr>
      <t>m,t</t>
    </r>
  </si>
  <si>
    <r>
      <t>s</t>
    </r>
    <r>
      <rPr>
        <i/>
        <vertAlign val="superscript"/>
        <sz val="10"/>
        <color indexed="8"/>
        <rFont val="Arial"/>
        <family val="2"/>
      </rPr>
      <t>E</t>
    </r>
  </si>
  <si>
    <r>
      <t>s</t>
    </r>
    <r>
      <rPr>
        <vertAlign val="subscript"/>
        <sz val="10"/>
        <color indexed="8"/>
        <rFont val="Arial"/>
        <family val="2"/>
      </rPr>
      <t>11</t>
    </r>
    <r>
      <rPr>
        <i/>
        <vertAlign val="superscript"/>
        <sz val="10"/>
        <color indexed="8"/>
        <rFont val="Arial"/>
        <family val="2"/>
      </rPr>
      <t>E</t>
    </r>
  </si>
  <si>
    <r>
      <t>s</t>
    </r>
    <r>
      <rPr>
        <vertAlign val="subscript"/>
        <sz val="10"/>
        <color indexed="8"/>
        <rFont val="Arial"/>
        <family val="2"/>
      </rPr>
      <t>12</t>
    </r>
    <r>
      <rPr>
        <i/>
        <vertAlign val="superscript"/>
        <sz val="10"/>
        <color indexed="8"/>
        <rFont val="Arial"/>
        <family val="2"/>
      </rPr>
      <t>E</t>
    </r>
  </si>
  <si>
    <r>
      <t>s</t>
    </r>
    <r>
      <rPr>
        <vertAlign val="subscript"/>
        <sz val="10"/>
        <color indexed="8"/>
        <rFont val="Arial"/>
        <family val="2"/>
      </rPr>
      <t>13</t>
    </r>
    <r>
      <rPr>
        <i/>
        <vertAlign val="superscript"/>
        <sz val="10"/>
        <color indexed="8"/>
        <rFont val="Arial"/>
        <family val="2"/>
      </rPr>
      <t>E</t>
    </r>
  </si>
  <si>
    <r>
      <t>s</t>
    </r>
    <r>
      <rPr>
        <vertAlign val="subscript"/>
        <sz val="10"/>
        <color indexed="8"/>
        <rFont val="Arial"/>
        <family val="2"/>
      </rPr>
      <t>33</t>
    </r>
    <r>
      <rPr>
        <i/>
        <vertAlign val="superscript"/>
        <sz val="10"/>
        <color indexed="8"/>
        <rFont val="Arial"/>
        <family val="2"/>
      </rPr>
      <t>E</t>
    </r>
  </si>
  <si>
    <r>
      <t>s</t>
    </r>
    <r>
      <rPr>
        <vertAlign val="subscript"/>
        <sz val="10"/>
        <color indexed="8"/>
        <rFont val="Arial"/>
        <family val="2"/>
      </rPr>
      <t>44</t>
    </r>
    <r>
      <rPr>
        <i/>
        <vertAlign val="super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= </t>
    </r>
    <r>
      <rPr>
        <i/>
        <sz val="10"/>
        <color indexed="8"/>
        <rFont val="Arial"/>
        <family val="2"/>
      </rPr>
      <t>s</t>
    </r>
    <r>
      <rPr>
        <vertAlign val="subscript"/>
        <sz val="10"/>
        <color indexed="8"/>
        <rFont val="Arial"/>
        <family val="2"/>
      </rPr>
      <t>55</t>
    </r>
    <r>
      <rPr>
        <i/>
        <vertAlign val="superscript"/>
        <sz val="10"/>
        <color indexed="8"/>
        <rFont val="Arial"/>
        <family val="2"/>
      </rPr>
      <t>E</t>
    </r>
  </si>
  <si>
    <r>
      <t>s</t>
    </r>
    <r>
      <rPr>
        <vertAlign val="subscript"/>
        <sz val="10"/>
        <color indexed="8"/>
        <rFont val="Arial"/>
        <family val="2"/>
      </rPr>
      <t>66</t>
    </r>
  </si>
  <si>
    <r>
      <t>s</t>
    </r>
    <r>
      <rPr>
        <vertAlign val="subscript"/>
        <sz val="10"/>
        <color indexed="8"/>
        <rFont val="Arial"/>
        <family val="2"/>
      </rPr>
      <t>11</t>
    </r>
    <r>
      <rPr>
        <i/>
        <vertAlign val="superscript"/>
        <sz val="10"/>
        <color indexed="8"/>
        <rFont val="Arial"/>
        <family val="2"/>
      </rPr>
      <t>D</t>
    </r>
  </si>
  <si>
    <r>
      <t>s</t>
    </r>
    <r>
      <rPr>
        <vertAlign val="subscript"/>
        <sz val="10"/>
        <color indexed="8"/>
        <rFont val="Arial"/>
        <family val="2"/>
      </rPr>
      <t>12</t>
    </r>
    <r>
      <rPr>
        <i/>
        <vertAlign val="superscript"/>
        <sz val="10"/>
        <color indexed="8"/>
        <rFont val="Arial"/>
        <family val="2"/>
      </rPr>
      <t>D</t>
    </r>
  </si>
  <si>
    <r>
      <t>s</t>
    </r>
    <r>
      <rPr>
        <vertAlign val="subscript"/>
        <sz val="10"/>
        <color indexed="8"/>
        <rFont val="Arial"/>
        <family val="2"/>
      </rPr>
      <t>13</t>
    </r>
    <r>
      <rPr>
        <i/>
        <vertAlign val="superscript"/>
        <sz val="10"/>
        <color indexed="8"/>
        <rFont val="Arial"/>
        <family val="2"/>
      </rPr>
      <t>D</t>
    </r>
  </si>
  <si>
    <r>
      <t>s</t>
    </r>
    <r>
      <rPr>
        <vertAlign val="subscript"/>
        <sz val="10"/>
        <color indexed="8"/>
        <rFont val="Arial"/>
        <family val="2"/>
      </rPr>
      <t>33</t>
    </r>
    <r>
      <rPr>
        <i/>
        <vertAlign val="superscript"/>
        <sz val="10"/>
        <color indexed="8"/>
        <rFont val="Arial"/>
        <family val="2"/>
      </rPr>
      <t>D</t>
    </r>
  </si>
  <si>
    <r>
      <t>s</t>
    </r>
    <r>
      <rPr>
        <vertAlign val="subscript"/>
        <sz val="10"/>
        <color indexed="8"/>
        <rFont val="Arial"/>
        <family val="2"/>
      </rPr>
      <t>44</t>
    </r>
    <r>
      <rPr>
        <i/>
        <vertAlign val="superscript"/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= </t>
    </r>
    <r>
      <rPr>
        <i/>
        <sz val="10"/>
        <color indexed="8"/>
        <rFont val="Arial"/>
        <family val="2"/>
      </rPr>
      <t>s</t>
    </r>
    <r>
      <rPr>
        <vertAlign val="subscript"/>
        <sz val="10"/>
        <color indexed="8"/>
        <rFont val="Arial"/>
        <family val="2"/>
      </rPr>
      <t>55</t>
    </r>
    <r>
      <rPr>
        <i/>
        <vertAlign val="superscript"/>
        <sz val="10"/>
        <color indexed="8"/>
        <rFont val="Arial"/>
        <family val="2"/>
      </rPr>
      <t>D</t>
    </r>
  </si>
  <si>
    <r>
      <t>c</t>
    </r>
    <r>
      <rPr>
        <vertAlign val="subscript"/>
        <sz val="10"/>
        <color indexed="8"/>
        <rFont val="Arial"/>
        <family val="2"/>
      </rPr>
      <t>11</t>
    </r>
    <r>
      <rPr>
        <i/>
        <vertAlign val="superscript"/>
        <sz val="10"/>
        <color indexed="8"/>
        <rFont val="Arial"/>
        <family val="2"/>
      </rPr>
      <t>E</t>
    </r>
  </si>
  <si>
    <r>
      <t>c</t>
    </r>
    <r>
      <rPr>
        <vertAlign val="subscript"/>
        <sz val="10"/>
        <color indexed="8"/>
        <rFont val="Arial"/>
        <family val="2"/>
      </rPr>
      <t>12</t>
    </r>
    <r>
      <rPr>
        <i/>
        <vertAlign val="superscript"/>
        <sz val="10"/>
        <color indexed="8"/>
        <rFont val="Arial"/>
        <family val="2"/>
      </rPr>
      <t>E</t>
    </r>
  </si>
  <si>
    <r>
      <t>c</t>
    </r>
    <r>
      <rPr>
        <vertAlign val="subscript"/>
        <sz val="10"/>
        <color indexed="8"/>
        <rFont val="Arial"/>
        <family val="2"/>
      </rPr>
      <t>13</t>
    </r>
    <r>
      <rPr>
        <i/>
        <vertAlign val="superscript"/>
        <sz val="10"/>
        <color indexed="8"/>
        <rFont val="Arial"/>
        <family val="2"/>
      </rPr>
      <t>E</t>
    </r>
  </si>
  <si>
    <r>
      <t>c</t>
    </r>
    <r>
      <rPr>
        <vertAlign val="subscript"/>
        <sz val="10"/>
        <color indexed="8"/>
        <rFont val="Arial"/>
        <family val="2"/>
      </rPr>
      <t>33</t>
    </r>
    <r>
      <rPr>
        <i/>
        <vertAlign val="superscript"/>
        <sz val="10"/>
        <color indexed="8"/>
        <rFont val="Arial"/>
        <family val="2"/>
      </rPr>
      <t>E</t>
    </r>
  </si>
  <si>
    <r>
      <t>c</t>
    </r>
    <r>
      <rPr>
        <vertAlign val="subscript"/>
        <sz val="10"/>
        <color indexed="8"/>
        <rFont val="Arial"/>
        <family val="2"/>
      </rPr>
      <t>44</t>
    </r>
    <r>
      <rPr>
        <i/>
        <vertAlign val="superscript"/>
        <sz val="10"/>
        <color indexed="8"/>
        <rFont val="Arial"/>
        <family val="2"/>
      </rPr>
      <t xml:space="preserve">E </t>
    </r>
    <r>
      <rPr>
        <sz val="10"/>
        <color indexed="8"/>
        <rFont val="Arial"/>
        <family val="2"/>
      </rPr>
      <t xml:space="preserve">= </t>
    </r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55</t>
    </r>
    <r>
      <rPr>
        <i/>
        <vertAlign val="superscript"/>
        <sz val="10"/>
        <color indexed="8"/>
        <rFont val="Arial"/>
        <family val="2"/>
      </rPr>
      <t>E</t>
    </r>
  </si>
  <si>
    <r>
      <t>c</t>
    </r>
    <r>
      <rPr>
        <vertAlign val="subscript"/>
        <sz val="10"/>
        <color indexed="8"/>
        <rFont val="Arial"/>
        <family val="2"/>
      </rPr>
      <t>66</t>
    </r>
  </si>
  <si>
    <r>
      <t>c</t>
    </r>
    <r>
      <rPr>
        <vertAlign val="subscript"/>
        <sz val="10"/>
        <color indexed="8"/>
        <rFont val="Arial"/>
        <family val="2"/>
      </rPr>
      <t>11</t>
    </r>
    <r>
      <rPr>
        <i/>
        <vertAlign val="superscript"/>
        <sz val="10"/>
        <color indexed="8"/>
        <rFont val="Arial"/>
        <family val="2"/>
      </rPr>
      <t>D</t>
    </r>
  </si>
  <si>
    <r>
      <t>c</t>
    </r>
    <r>
      <rPr>
        <vertAlign val="subscript"/>
        <sz val="10"/>
        <color indexed="8"/>
        <rFont val="Arial"/>
        <family val="2"/>
      </rPr>
      <t>12</t>
    </r>
    <r>
      <rPr>
        <i/>
        <vertAlign val="superscript"/>
        <sz val="10"/>
        <color indexed="8"/>
        <rFont val="Arial"/>
        <family val="2"/>
      </rPr>
      <t>D</t>
    </r>
  </si>
  <si>
    <r>
      <t>c</t>
    </r>
    <r>
      <rPr>
        <vertAlign val="subscript"/>
        <sz val="10"/>
        <color indexed="8"/>
        <rFont val="Arial"/>
        <family val="2"/>
      </rPr>
      <t>13</t>
    </r>
    <r>
      <rPr>
        <i/>
        <vertAlign val="superscript"/>
        <sz val="10"/>
        <color indexed="8"/>
        <rFont val="Arial"/>
        <family val="2"/>
      </rPr>
      <t>D</t>
    </r>
  </si>
  <si>
    <r>
      <t>c</t>
    </r>
    <r>
      <rPr>
        <vertAlign val="subscript"/>
        <sz val="10"/>
        <color indexed="8"/>
        <rFont val="Arial"/>
        <family val="2"/>
      </rPr>
      <t>33</t>
    </r>
    <r>
      <rPr>
        <i/>
        <vertAlign val="superscript"/>
        <sz val="10"/>
        <color indexed="8"/>
        <rFont val="Arial"/>
        <family val="2"/>
      </rPr>
      <t>D</t>
    </r>
  </si>
  <si>
    <r>
      <t>c</t>
    </r>
    <r>
      <rPr>
        <vertAlign val="subscript"/>
        <sz val="10"/>
        <color indexed="8"/>
        <rFont val="Arial"/>
        <family val="2"/>
      </rPr>
      <t>44</t>
    </r>
    <r>
      <rPr>
        <i/>
        <vertAlign val="superscript"/>
        <sz val="10"/>
        <color indexed="8"/>
        <rFont val="Arial"/>
        <family val="2"/>
      </rPr>
      <t xml:space="preserve">D </t>
    </r>
    <r>
      <rPr>
        <sz val="10"/>
        <color indexed="8"/>
        <rFont val="Arial"/>
        <family val="2"/>
      </rPr>
      <t xml:space="preserve">= </t>
    </r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55</t>
    </r>
    <r>
      <rPr>
        <i/>
        <vertAlign val="superscript"/>
        <sz val="10"/>
        <color indexed="8"/>
        <rFont val="Arial"/>
        <family val="2"/>
      </rPr>
      <t>D</t>
    </r>
  </si>
  <si>
    <r>
      <t>Y</t>
    </r>
    <r>
      <rPr>
        <vertAlign val="subscript"/>
        <sz val="10"/>
        <color indexed="8"/>
        <rFont val="Arial"/>
        <family val="2"/>
      </rPr>
      <t>11</t>
    </r>
    <r>
      <rPr>
        <i/>
        <vertAlign val="superscript"/>
        <sz val="10"/>
        <color indexed="8"/>
        <rFont val="Arial"/>
        <family val="2"/>
      </rPr>
      <t>E</t>
    </r>
  </si>
  <si>
    <r>
      <t>Y</t>
    </r>
    <r>
      <rPr>
        <vertAlign val="subscript"/>
        <sz val="10"/>
        <color indexed="8"/>
        <rFont val="Arial"/>
        <family val="2"/>
      </rPr>
      <t>33</t>
    </r>
    <r>
      <rPr>
        <i/>
        <vertAlign val="superscript"/>
        <sz val="10"/>
        <color indexed="8"/>
        <rFont val="Arial"/>
        <family val="2"/>
      </rPr>
      <t>E</t>
    </r>
  </si>
  <si>
    <r>
      <t>Y</t>
    </r>
    <r>
      <rPr>
        <vertAlign val="subscript"/>
        <sz val="10"/>
        <color indexed="8"/>
        <rFont val="Arial"/>
        <family val="2"/>
      </rPr>
      <t>11</t>
    </r>
    <r>
      <rPr>
        <i/>
        <vertAlign val="superscript"/>
        <sz val="10"/>
        <color indexed="8"/>
        <rFont val="Arial"/>
        <family val="2"/>
      </rPr>
      <t>D</t>
    </r>
  </si>
  <si>
    <r>
      <t>Y</t>
    </r>
    <r>
      <rPr>
        <vertAlign val="subscript"/>
        <sz val="10"/>
        <color indexed="8"/>
        <rFont val="Arial"/>
        <family val="2"/>
      </rPr>
      <t>33</t>
    </r>
    <r>
      <rPr>
        <i/>
        <vertAlign val="superscript"/>
        <sz val="10"/>
        <color indexed="8"/>
        <rFont val="Arial"/>
        <family val="2"/>
      </rPr>
      <t>D</t>
    </r>
  </si>
  <si>
    <t>skive -b</t>
  </si>
  <si>
    <t>skive- a</t>
  </si>
  <si>
    <t>Rør Nc</t>
  </si>
  <si>
    <t>reggression med Nt=a+(b/(Dia/th)),</t>
  </si>
  <si>
    <t>Shear Resonance</t>
  </si>
  <si>
    <t>No cross-coupling between overtones from one resonance and a higher fundamental mode.</t>
  </si>
  <si>
    <t>Spreadsheet made by Torsten Bove, Erling Ringgaard and Thom Wurlitzer</t>
  </si>
  <si>
    <t>IMPORTANT NOTES ABOUT THE SPREADSHEET.</t>
  </si>
  <si>
    <t xml:space="preserve">The calculation is NOT based on FEM-modelling, and therefore do NOT take interactions between different modes into account.  </t>
  </si>
  <si>
    <t>In some cases the deviation in relation to measuremnts in real parts can therefore be up to 20%</t>
  </si>
  <si>
    <t>Wall thickness</t>
  </si>
  <si>
    <t>Capacitance at 1 kHz</t>
  </si>
  <si>
    <r>
      <t>D</t>
    </r>
    <r>
      <rPr>
        <vertAlign val="subscript"/>
        <sz val="12"/>
        <rFont val="Arial"/>
        <family val="2"/>
      </rPr>
      <t>height</t>
    </r>
  </si>
  <si>
    <r>
      <t>U</t>
    </r>
    <r>
      <rPr>
        <vertAlign val="subscript"/>
        <sz val="12"/>
        <rFont val="Arial"/>
        <family val="2"/>
      </rPr>
      <t>shear force</t>
    </r>
  </si>
  <si>
    <t>Click here to E-mail auhtors</t>
  </si>
  <si>
    <t>Click here for further information</t>
  </si>
  <si>
    <t>This spreadsheet is constructed by use of simple formulae for calculation of capacitance, resonances, displacements and output signals.</t>
  </si>
  <si>
    <t>Choose dimensions as far apart as you can. Example: Ring 40x10x1 mm will giver more accurate calculations than Ring 12x11x10 mm</t>
  </si>
  <si>
    <t>Choose moderate electrical voltages to avoid non-linear behaviour. Soft materials are much more non-linear than hard types.</t>
  </si>
  <si>
    <t>Choose moderate mechanical stresses to avoid non-linear behaviour. Soft materials are much more non-linear than hard types.</t>
  </si>
  <si>
    <t>Ferroperm Piezoelectric calculator is a simple tool to help get an initial estimation of various parameters in a piezoelectric part.</t>
  </si>
  <si>
    <t xml:space="preserve">The results should however only be taken as an indication, and a good basis for discussion with Ferroperm. </t>
  </si>
  <si>
    <t xml:space="preserve">Please also see the notes to this spreadsheets regarding assumptions and limitations. </t>
  </si>
  <si>
    <t>Ring Nc</t>
  </si>
  <si>
    <t>Ring md -a</t>
  </si>
  <si>
    <t>Ring md -b</t>
  </si>
  <si>
    <t>Reggression med Nmd=a+b*(OD/ID)</t>
  </si>
  <si>
    <t>CONTINUE TO CALCULATIONS</t>
  </si>
  <si>
    <t>Idealised fundamental resonances</t>
  </si>
  <si>
    <t xml:space="preserve">Ferroperm Piezoceramics A/S makes no warranties with respect to the information set forth herein or the product to which the information refers. 
Accordingly, Ferroperm Piezoceramics A/S will not be responsible for damages resulting from use of or reliance upon this information. </t>
  </si>
  <si>
    <t>Version 1.2. Released Jan 2003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</si>
</sst>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E+00"/>
    <numFmt numFmtId="173" formatCode="0E+00"/>
    <numFmt numFmtId="174" formatCode="_(* #,##0.000_);_(* \(#,##0.000\);_(* &quot;-&quot;??_);_(@_)"/>
    <numFmt numFmtId="175" formatCode="#,##0.000"/>
    <numFmt numFmtId="176" formatCode="_(* #,##0.0_);_(* \(#,##0.0\);_(* &quot;-&quot;??_);_(@_)"/>
    <numFmt numFmtId="177" formatCode="_(* #,##0_);_(* \(#,##0\);_(* &quot;-&quot;??_);_(@_)"/>
    <numFmt numFmtId="178" formatCode="#,##0.0000"/>
    <numFmt numFmtId="179" formatCode="#,##0.00000"/>
    <numFmt numFmtId="180" formatCode="#,##0;[Red]#,##0"/>
  </numFmts>
  <fonts count="44">
    <font>
      <sz val="10"/>
      <name val="Arial"/>
      <family val="0"/>
    </font>
    <font>
      <i/>
      <sz val="10"/>
      <name val="Symbol"/>
      <family val="1"/>
    </font>
    <font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sz val="14"/>
      <color indexed="4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sz val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sz val="12"/>
      <name val="Symbol"/>
      <family val="1"/>
    </font>
    <font>
      <vertAlign val="subscript"/>
      <sz val="1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b/>
      <sz val="20"/>
      <color indexed="16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i/>
      <sz val="10"/>
      <color indexed="8"/>
      <name val="Symbol"/>
      <family val="1"/>
    </font>
    <font>
      <vertAlign val="subscript"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Tahoma"/>
      <family val="2"/>
    </font>
    <font>
      <i/>
      <sz val="16"/>
      <name val="Arial"/>
      <family val="2"/>
    </font>
    <font>
      <b/>
      <sz val="36"/>
      <color indexed="60"/>
      <name val="Arial"/>
      <family val="2"/>
    </font>
    <font>
      <i/>
      <sz val="12"/>
      <name val="Arial"/>
      <family val="2"/>
    </font>
    <font>
      <u val="single"/>
      <sz val="14"/>
      <color indexed="12"/>
      <name val="Arial"/>
      <family val="2"/>
    </font>
    <font>
      <sz val="24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1" fontId="4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0" fillId="2" borderId="0" xfId="0" applyFill="1" applyAlignment="1">
      <alignment/>
    </xf>
    <xf numFmtId="0" fontId="13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0" fillId="2" borderId="1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 indent="8"/>
    </xf>
    <xf numFmtId="0" fontId="2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0" xfId="0" applyFill="1" applyAlignment="1">
      <alignment/>
    </xf>
    <xf numFmtId="0" fontId="17" fillId="2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17" fillId="2" borderId="1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1" fontId="0" fillId="2" borderId="9" xfId="0" applyNumberFormat="1" applyFill="1" applyBorder="1" applyAlignment="1">
      <alignment horizontal="center"/>
    </xf>
    <xf numFmtId="0" fontId="16" fillId="2" borderId="1" xfId="0" applyFont="1" applyFill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175" fontId="0" fillId="2" borderId="9" xfId="15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3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2" fillId="2" borderId="0" xfId="0" applyFont="1" applyFill="1" applyAlignment="1">
      <alignment/>
    </xf>
    <xf numFmtId="0" fontId="23" fillId="2" borderId="1" xfId="0" applyFont="1" applyFill="1" applyBorder="1" applyAlignment="1">
      <alignment/>
    </xf>
    <xf numFmtId="0" fontId="18" fillId="2" borderId="1" xfId="0" applyFont="1" applyFill="1" applyBorder="1" applyAlignment="1">
      <alignment horizontal="left" indent="1"/>
    </xf>
    <xf numFmtId="0" fontId="24" fillId="2" borderId="1" xfId="0" applyFont="1" applyFill="1" applyBorder="1" applyAlignment="1">
      <alignment horizontal="left" indent="1"/>
    </xf>
    <xf numFmtId="1" fontId="18" fillId="2" borderId="9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/>
    </xf>
    <xf numFmtId="2" fontId="18" fillId="2" borderId="0" xfId="0" applyNumberFormat="1" applyFont="1" applyFill="1" applyBorder="1" applyAlignment="1">
      <alignment horizontal="center"/>
    </xf>
    <xf numFmtId="1" fontId="18" fillId="2" borderId="9" xfId="15" applyNumberFormat="1" applyFont="1" applyFill="1" applyBorder="1" applyAlignment="1">
      <alignment horizontal="center"/>
    </xf>
    <xf numFmtId="165" fontId="18" fillId="2" borderId="9" xfId="15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2" borderId="1" xfId="19" applyFont="1" applyFill="1" applyBorder="1" applyAlignment="1">
      <alignment horizontal="center"/>
    </xf>
    <xf numFmtId="0" fontId="8" fillId="2" borderId="0" xfId="19" applyFont="1" applyFill="1" applyBorder="1" applyAlignment="1">
      <alignment horizontal="center"/>
    </xf>
    <xf numFmtId="0" fontId="8" fillId="2" borderId="2" xfId="19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8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18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/>
    </xf>
    <xf numFmtId="175" fontId="0" fillId="2" borderId="9" xfId="0" applyNumberFormat="1" applyFill="1" applyBorder="1" applyAlignment="1">
      <alignment horizontal="center"/>
    </xf>
    <xf numFmtId="175" fontId="0" fillId="2" borderId="9" xfId="15" applyNumberFormat="1" applyFill="1" applyBorder="1" applyAlignment="1">
      <alignment horizontal="center"/>
    </xf>
    <xf numFmtId="175" fontId="0" fillId="2" borderId="9" xfId="15" applyNumberFormat="1" applyFont="1" applyFill="1" applyBorder="1" applyAlignment="1">
      <alignment horizontal="center"/>
    </xf>
    <xf numFmtId="175" fontId="0" fillId="2" borderId="9" xfId="15" applyNumberFormat="1" applyFill="1" applyBorder="1" applyAlignment="1">
      <alignment horizontal="center"/>
    </xf>
    <xf numFmtId="0" fontId="16" fillId="2" borderId="2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75" fontId="0" fillId="2" borderId="0" xfId="15" applyNumberFormat="1" applyFill="1" applyBorder="1" applyAlignment="1">
      <alignment horizontal="center"/>
    </xf>
    <xf numFmtId="175" fontId="0" fillId="2" borderId="0" xfId="15" applyNumberFormat="1" applyFill="1" applyBorder="1" applyAlignment="1">
      <alignment horizontal="center"/>
    </xf>
    <xf numFmtId="0" fontId="18" fillId="2" borderId="9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Alignment="1">
      <alignment/>
    </xf>
    <xf numFmtId="0" fontId="18" fillId="2" borderId="1" xfId="0" applyFont="1" applyFill="1" applyBorder="1" applyAlignment="1">
      <alignment/>
    </xf>
    <xf numFmtId="0" fontId="18" fillId="2" borderId="2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0" fontId="18" fillId="2" borderId="5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8" fillId="2" borderId="2" xfId="0" applyFont="1" applyFill="1" applyBorder="1" applyAlignment="1">
      <alignment/>
    </xf>
    <xf numFmtId="0" fontId="18" fillId="2" borderId="0" xfId="0" applyFont="1" applyFill="1" applyAlignment="1">
      <alignment/>
    </xf>
    <xf numFmtId="0" fontId="38" fillId="2" borderId="0" xfId="0" applyFont="1" applyFill="1" applyBorder="1" applyAlignment="1">
      <alignment vertical="center"/>
    </xf>
    <xf numFmtId="0" fontId="39" fillId="2" borderId="0" xfId="0" applyFont="1" applyFill="1" applyBorder="1" applyAlignment="1">
      <alignment/>
    </xf>
    <xf numFmtId="1" fontId="0" fillId="0" borderId="0" xfId="15" applyNumberFormat="1" applyAlignment="1">
      <alignment/>
    </xf>
    <xf numFmtId="0" fontId="41" fillId="4" borderId="10" xfId="19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30" fillId="5" borderId="11" xfId="0" applyFont="1" applyFill="1" applyBorder="1" applyAlignment="1">
      <alignment horizontal="center" vertical="center"/>
    </xf>
    <xf numFmtId="1" fontId="17" fillId="2" borderId="6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0" fillId="0" borderId="12" xfId="19" applyFont="1" applyBorder="1" applyAlignment="1">
      <alignment horizontal="center"/>
    </xf>
    <xf numFmtId="0" fontId="42" fillId="2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8" fillId="6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7" fillId="6" borderId="1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2" xfId="0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8" fillId="2" borderId="1" xfId="19" applyFont="1" applyFill="1" applyBorder="1" applyAlignment="1">
      <alignment horizontal="center"/>
    </xf>
    <xf numFmtId="0" fontId="8" fillId="2" borderId="0" xfId="19" applyFill="1" applyBorder="1" applyAlignment="1">
      <alignment horizontal="center"/>
    </xf>
    <xf numFmtId="0" fontId="8" fillId="2" borderId="2" xfId="19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5" borderId="12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40" fillId="0" borderId="11" xfId="19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rroperm-piezo.com/" TargetMode="External" /><Relationship Id="rId2" Type="http://schemas.openxmlformats.org/officeDocument/2006/relationships/hyperlink" Target="mailto:pz@ferroperm-piezo.com?subject=Reg%20Piezoelectric%20Calculator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showGridLines="0" showRowColHeaders="0" tabSelected="1" zoomScale="75" zoomScaleNormal="75" workbookViewId="0" topLeftCell="A1">
      <selection activeCell="G10" sqref="G10"/>
    </sheetView>
  </sheetViews>
  <sheetFormatPr defaultColWidth="8.8515625" defaultRowHeight="12.75"/>
  <cols>
    <col min="1" max="1" width="3.28125" style="76" customWidth="1"/>
    <col min="2" max="6" width="4.421875" style="30" customWidth="1"/>
    <col min="7" max="7" width="99.00390625" style="30" customWidth="1"/>
    <col min="8" max="8" width="4.7109375" style="30" customWidth="1"/>
    <col min="9" max="12" width="4.7109375" style="76" customWidth="1"/>
    <col min="13" max="16384" width="8.8515625" style="76" customWidth="1"/>
  </cols>
  <sheetData>
    <row r="1" ht="15.75" thickBot="1"/>
    <row r="2" spans="1:12" s="103" customFormat="1" ht="51.75" customHeight="1">
      <c r="A2" s="100"/>
      <c r="B2" s="119" t="s">
        <v>197</v>
      </c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s="103" customFormat="1" ht="27" customHeight="1">
      <c r="A3" s="100"/>
      <c r="B3" s="122" t="s">
        <v>289</v>
      </c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1:12" s="103" customFormat="1" ht="17.25" customHeight="1">
      <c r="A4" s="100"/>
      <c r="B4" s="95"/>
      <c r="C4" s="104"/>
      <c r="D4" s="30"/>
      <c r="E4" s="30"/>
      <c r="G4" s="105"/>
      <c r="H4" s="30"/>
      <c r="I4" s="101"/>
      <c r="J4" s="101"/>
      <c r="K4" s="101"/>
      <c r="L4" s="102"/>
    </row>
    <row r="5" spans="1:12" ht="24" customHeight="1">
      <c r="A5" s="95"/>
      <c r="B5" s="116" t="s">
        <v>279</v>
      </c>
      <c r="C5" s="117"/>
      <c r="D5" s="117"/>
      <c r="E5" s="117"/>
      <c r="F5" s="117"/>
      <c r="G5" s="117"/>
      <c r="H5" s="117"/>
      <c r="I5" s="117"/>
      <c r="J5" s="117"/>
      <c r="K5" s="117"/>
      <c r="L5" s="118"/>
    </row>
    <row r="6" spans="1:12" ht="24" customHeight="1">
      <c r="A6" s="95"/>
      <c r="B6" s="116" t="s">
        <v>280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1:12" ht="24" customHeight="1">
      <c r="A7" s="95"/>
      <c r="B7" s="116" t="s">
        <v>281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1:12" ht="12" customHeight="1">
      <c r="A8" s="95"/>
      <c r="B8" s="108"/>
      <c r="I8" s="30"/>
      <c r="J8" s="30"/>
      <c r="K8" s="30"/>
      <c r="L8" s="96"/>
    </row>
    <row r="9" spans="1:12" ht="15">
      <c r="A9" s="95"/>
      <c r="B9" s="95"/>
      <c r="I9" s="30"/>
      <c r="J9" s="30"/>
      <c r="K9" s="30"/>
      <c r="L9" s="96"/>
    </row>
    <row r="10" spans="1:12" ht="38.25" customHeight="1">
      <c r="A10" s="95"/>
      <c r="B10" s="95"/>
      <c r="E10" s="76"/>
      <c r="F10" s="76"/>
      <c r="G10" s="107" t="s">
        <v>286</v>
      </c>
      <c r="I10" s="30"/>
      <c r="J10" s="30"/>
      <c r="K10" s="30"/>
      <c r="L10" s="96"/>
    </row>
    <row r="11" spans="1:12" ht="8.25" customHeight="1">
      <c r="A11" s="30"/>
      <c r="B11" s="95"/>
      <c r="E11" s="76"/>
      <c r="I11" s="30"/>
      <c r="J11" s="30"/>
      <c r="K11" s="30"/>
      <c r="L11" s="96"/>
    </row>
    <row r="12" spans="1:12" ht="35.25" customHeight="1">
      <c r="A12" s="30"/>
      <c r="B12" s="95"/>
      <c r="C12" s="114" t="s">
        <v>288</v>
      </c>
      <c r="D12" s="115"/>
      <c r="E12" s="115"/>
      <c r="F12" s="115"/>
      <c r="G12" s="115"/>
      <c r="H12" s="115"/>
      <c r="I12" s="115"/>
      <c r="J12" s="115"/>
      <c r="K12" s="115"/>
      <c r="L12" s="96"/>
    </row>
    <row r="13" spans="1:12" ht="15.75" thickBot="1">
      <c r="A13" s="30"/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9"/>
    </row>
  </sheetData>
  <sheetProtection password="DEC1" sheet="1" objects="1" scenarios="1"/>
  <mergeCells count="6">
    <mergeCell ref="C12:K12"/>
    <mergeCell ref="B7:L7"/>
    <mergeCell ref="B2:L2"/>
    <mergeCell ref="B3:L3"/>
    <mergeCell ref="B5:L5"/>
    <mergeCell ref="B6:L6"/>
  </mergeCells>
  <hyperlinks>
    <hyperlink ref="G10" location="Calculator!A1" display="Calculator!A1"/>
  </hyperlinks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8"/>
  <dimension ref="A1:G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25.00390625" style="0" customWidth="1"/>
    <col min="5" max="5" width="22.421875" style="0" bestFit="1" customWidth="1"/>
    <col min="6" max="6" width="14.57421875" style="0" bestFit="1" customWidth="1"/>
  </cols>
  <sheetData>
    <row r="1" ht="12.75">
      <c r="A1" t="s">
        <v>165</v>
      </c>
    </row>
    <row r="2" spans="1:3" ht="12.75">
      <c r="A2" t="s">
        <v>123</v>
      </c>
      <c r="C2">
        <v>5</v>
      </c>
    </row>
    <row r="4" ht="12.75">
      <c r="F4" s="1"/>
    </row>
    <row r="5" spans="1:6" ht="12.75">
      <c r="A5" t="s">
        <v>101</v>
      </c>
      <c r="E5" t="s">
        <v>102</v>
      </c>
      <c r="F5" s="1"/>
    </row>
    <row r="6" spans="1:6" ht="15.75">
      <c r="A6" s="6" t="s">
        <v>18</v>
      </c>
      <c r="B6" s="1">
        <f>Beregningsark!C12</f>
        <v>1795.99</v>
      </c>
      <c r="F6" s="1"/>
    </row>
    <row r="7" spans="1:7" ht="15.75">
      <c r="A7" s="8" t="s">
        <v>19</v>
      </c>
      <c r="B7" s="1">
        <f>Beregningsark!C13</f>
        <v>1802.77</v>
      </c>
      <c r="E7" t="s">
        <v>103</v>
      </c>
      <c r="F7" s="1">
        <f>1000000000000*(B6*0.000000000008854*C28*C29)/C30</f>
        <v>0</v>
      </c>
      <c r="G7" t="s">
        <v>2</v>
      </c>
    </row>
    <row r="8" spans="1:6" ht="15.75">
      <c r="A8" s="11" t="s">
        <v>46</v>
      </c>
      <c r="B8">
        <f>Beregningsark!C36</f>
        <v>2011.08</v>
      </c>
      <c r="C8" t="s">
        <v>47</v>
      </c>
      <c r="E8" t="s">
        <v>104</v>
      </c>
      <c r="F8" s="3"/>
    </row>
    <row r="9" spans="1:7" ht="15.75">
      <c r="A9" s="11" t="s">
        <v>48</v>
      </c>
      <c r="B9">
        <f>Beregningsark!C37</f>
        <v>1952.94</v>
      </c>
      <c r="C9" t="s">
        <v>47</v>
      </c>
      <c r="E9" t="s">
        <v>5</v>
      </c>
      <c r="F9" s="1">
        <f>0.001*B12/C30</f>
        <v>895.72</v>
      </c>
      <c r="G9" t="s">
        <v>3</v>
      </c>
    </row>
    <row r="10" spans="1:3" ht="15.75">
      <c r="A10" s="11" t="s">
        <v>49</v>
      </c>
      <c r="B10">
        <f>Beregningsark!C38</f>
        <v>1400</v>
      </c>
      <c r="C10" t="s">
        <v>47</v>
      </c>
    </row>
    <row r="11" spans="1:7" ht="15.75">
      <c r="A11" s="11" t="s">
        <v>50</v>
      </c>
      <c r="B11">
        <f>Beregningsark!C39</f>
        <v>1500</v>
      </c>
      <c r="C11" t="s">
        <v>47</v>
      </c>
      <c r="E11" t="s">
        <v>134</v>
      </c>
      <c r="F11" s="18">
        <f>1000000*B19*C33</f>
        <v>0</v>
      </c>
      <c r="G11" t="s">
        <v>135</v>
      </c>
    </row>
    <row r="12" spans="1:5" ht="15.75">
      <c r="A12" s="11" t="s">
        <v>51</v>
      </c>
      <c r="B12">
        <f>Beregningsark!C40</f>
        <v>895.72</v>
      </c>
      <c r="C12" t="s">
        <v>47</v>
      </c>
      <c r="E12" t="s">
        <v>111</v>
      </c>
    </row>
    <row r="14" spans="1:5" ht="12.75">
      <c r="A14" s="11" t="s">
        <v>100</v>
      </c>
      <c r="B14" s="1">
        <f>Beregningsark!C74+(Beregningsark!C75/(Discs!C28/Discs!C30))</f>
        <v>2050.070270056</v>
      </c>
      <c r="C14" t="s">
        <v>47</v>
      </c>
      <c r="E14" t="s">
        <v>113</v>
      </c>
    </row>
    <row r="15" spans="1:5" ht="12.75">
      <c r="A15" s="11" t="s">
        <v>140</v>
      </c>
      <c r="B15">
        <f>Beregningsark!C80</f>
        <v>880</v>
      </c>
      <c r="C15" t="s">
        <v>47</v>
      </c>
      <c r="E15" t="s">
        <v>112</v>
      </c>
    </row>
    <row r="16" spans="1:7" ht="12.75">
      <c r="A16" s="11" t="s">
        <v>141</v>
      </c>
      <c r="B16">
        <f>Beregningsark!C80</f>
        <v>880</v>
      </c>
      <c r="C16" t="s">
        <v>47</v>
      </c>
      <c r="E16" t="s">
        <v>136</v>
      </c>
      <c r="F16" t="e">
        <f>(B22*C39)/C29</f>
        <v>#DIV/0!</v>
      </c>
      <c r="G16" t="s">
        <v>133</v>
      </c>
    </row>
    <row r="17" spans="1:3" ht="15.75">
      <c r="A17" s="11" t="s">
        <v>32</v>
      </c>
      <c r="B17" s="4">
        <f>Beregningsark!C24</f>
        <v>4.25E-10</v>
      </c>
      <c r="C17" t="s">
        <v>31</v>
      </c>
    </row>
    <row r="18" spans="1:3" ht="15.75">
      <c r="A18" s="11" t="s">
        <v>30</v>
      </c>
      <c r="B18" s="4">
        <f>Beregningsark!C23</f>
        <v>-1.699915E-10</v>
      </c>
      <c r="C18" t="s">
        <v>31</v>
      </c>
    </row>
    <row r="19" spans="1:3" ht="15.75">
      <c r="A19" s="11" t="s">
        <v>33</v>
      </c>
      <c r="B19" s="4">
        <f>Beregningsark!C24</f>
        <v>4.25E-10</v>
      </c>
      <c r="C19" t="s">
        <v>31</v>
      </c>
    </row>
    <row r="20" spans="1:3" ht="15.75">
      <c r="A20" s="11" t="s">
        <v>35</v>
      </c>
      <c r="B20" s="18">
        <f>Beregningsark!C27</f>
        <v>-0.0106645</v>
      </c>
      <c r="C20" t="s">
        <v>36</v>
      </c>
    </row>
    <row r="21" spans="1:3" ht="15.75">
      <c r="A21" s="11" t="s">
        <v>37</v>
      </c>
      <c r="B21" s="18">
        <f>Beregningsark!C28</f>
        <v>0.0266625</v>
      </c>
      <c r="C21" t="s">
        <v>36</v>
      </c>
    </row>
    <row r="22" spans="1:3" ht="15.75">
      <c r="A22" s="11" t="s">
        <v>38</v>
      </c>
      <c r="B22" s="18">
        <f>Beregningsark!C29</f>
        <v>0.0373269</v>
      </c>
      <c r="C22" t="s">
        <v>36</v>
      </c>
    </row>
    <row r="25" ht="12.75">
      <c r="A25" s="19" t="s">
        <v>105</v>
      </c>
    </row>
    <row r="27" ht="12.75">
      <c r="A27" t="s">
        <v>108</v>
      </c>
    </row>
    <row r="28" spans="2:4" ht="12.75">
      <c r="B28" t="s">
        <v>124</v>
      </c>
      <c r="C28" s="17">
        <f>Calculator!D12/1000</f>
        <v>0.025</v>
      </c>
      <c r="D28" t="s">
        <v>116</v>
      </c>
    </row>
    <row r="29" spans="2:4" ht="12.75">
      <c r="B29" t="s">
        <v>125</v>
      </c>
      <c r="C29" s="17">
        <f>Calculator!D13/1000</f>
        <v>0</v>
      </c>
      <c r="D29" t="s">
        <v>116</v>
      </c>
    </row>
    <row r="30" spans="2:4" ht="12.75">
      <c r="B30" t="s">
        <v>126</v>
      </c>
      <c r="C30" s="17">
        <f>Calculator!D14/1000</f>
        <v>0.001</v>
      </c>
      <c r="D30" t="s">
        <v>116</v>
      </c>
    </row>
    <row r="32" ht="12.75">
      <c r="A32" t="s">
        <v>109</v>
      </c>
    </row>
    <row r="33" spans="2:4" ht="12.75">
      <c r="B33" t="s">
        <v>106</v>
      </c>
      <c r="C33">
        <f>Calculator!D17</f>
        <v>0</v>
      </c>
      <c r="D33" t="s">
        <v>114</v>
      </c>
    </row>
    <row r="36" ht="12.75">
      <c r="A36" t="s">
        <v>107</v>
      </c>
    </row>
    <row r="37" spans="2:4" ht="12.75">
      <c r="B37" t="s">
        <v>118</v>
      </c>
      <c r="C37">
        <f>Calculator!D20</f>
        <v>0</v>
      </c>
      <c r="D37" t="s">
        <v>115</v>
      </c>
    </row>
    <row r="38" spans="2:4" ht="12.75">
      <c r="B38" t="s">
        <v>119</v>
      </c>
      <c r="C38">
        <f>Calculator!D21</f>
        <v>0</v>
      </c>
      <c r="D38" t="s">
        <v>115</v>
      </c>
    </row>
    <row r="39" spans="2:4" ht="12.75">
      <c r="B39" t="s">
        <v>137</v>
      </c>
      <c r="C39">
        <f>Calculator!D22</f>
        <v>0</v>
      </c>
      <c r="D39" t="s">
        <v>115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9"/>
  <dimension ref="A1:G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25.00390625" style="0" customWidth="1"/>
    <col min="5" max="5" width="24.421875" style="0" customWidth="1"/>
  </cols>
  <sheetData>
    <row r="1" ht="12.75">
      <c r="A1" t="s">
        <v>166</v>
      </c>
    </row>
    <row r="2" spans="1:3" ht="12.75">
      <c r="A2" t="s">
        <v>123</v>
      </c>
      <c r="C2">
        <v>6</v>
      </c>
    </row>
    <row r="4" ht="12.75">
      <c r="F4" s="1"/>
    </row>
    <row r="5" spans="1:6" ht="12.75">
      <c r="A5" t="s">
        <v>101</v>
      </c>
      <c r="E5" t="s">
        <v>102</v>
      </c>
      <c r="F5" s="2"/>
    </row>
    <row r="6" spans="1:6" ht="15.75">
      <c r="A6" s="6" t="s">
        <v>18</v>
      </c>
      <c r="B6" s="1">
        <f>Beregningsark!C12</f>
        <v>1795.99</v>
      </c>
      <c r="F6" s="2"/>
    </row>
    <row r="7" spans="1:7" ht="15.75">
      <c r="A7" s="8" t="s">
        <v>19</v>
      </c>
      <c r="B7" s="1">
        <f>Beregningsark!C13</f>
        <v>1802.77</v>
      </c>
      <c r="E7" t="s">
        <v>103</v>
      </c>
      <c r="F7" s="2" t="e">
        <f>1000000000000*(2*B6*0.000000000008854*PI()*C30)/(LN((C28/C29)))</f>
        <v>#DIV/0!</v>
      </c>
      <c r="G7" t="s">
        <v>2</v>
      </c>
    </row>
    <row r="8" spans="1:7" ht="15.75">
      <c r="A8" s="11" t="s">
        <v>46</v>
      </c>
      <c r="B8">
        <f>Beregningsark!C36</f>
        <v>2011.08</v>
      </c>
      <c r="C8" t="s">
        <v>47</v>
      </c>
      <c r="E8" t="s">
        <v>263</v>
      </c>
      <c r="F8" s="1">
        <f>0.001*2*B12/(C28-C29)</f>
        <v>71.6576</v>
      </c>
      <c r="G8" t="s">
        <v>3</v>
      </c>
    </row>
    <row r="9" spans="1:5" ht="15.75">
      <c r="A9" s="11" t="s">
        <v>48</v>
      </c>
      <c r="B9">
        <f>Beregningsark!C37</f>
        <v>1952.94</v>
      </c>
      <c r="C9" t="s">
        <v>47</v>
      </c>
      <c r="E9" t="s">
        <v>5</v>
      </c>
    </row>
    <row r="10" spans="1:3" ht="15.75">
      <c r="A10" s="11" t="s">
        <v>49</v>
      </c>
      <c r="B10">
        <f>Beregningsark!C38</f>
        <v>1400</v>
      </c>
      <c r="C10" t="s">
        <v>47</v>
      </c>
    </row>
    <row r="11" spans="1:5" ht="15.75">
      <c r="A11" s="11" t="s">
        <v>50</v>
      </c>
      <c r="B11">
        <f>Beregningsark!C39</f>
        <v>1500</v>
      </c>
      <c r="C11" t="s">
        <v>47</v>
      </c>
      <c r="E11" t="s">
        <v>110</v>
      </c>
    </row>
    <row r="12" spans="1:7" ht="15.75">
      <c r="A12" s="11" t="s">
        <v>51</v>
      </c>
      <c r="B12">
        <f>Beregningsark!C40</f>
        <v>895.72</v>
      </c>
      <c r="C12" t="s">
        <v>47</v>
      </c>
      <c r="E12" t="s">
        <v>138</v>
      </c>
      <c r="F12" s="3">
        <f>1000000*B19*C33</f>
        <v>0</v>
      </c>
      <c r="G12" t="s">
        <v>135</v>
      </c>
    </row>
    <row r="14" spans="1:5" ht="12.75">
      <c r="A14" s="11" t="s">
        <v>100</v>
      </c>
      <c r="B14" s="1">
        <f>Beregningsark!C74+(Beregningsark!C75/(Discs!C28/Discs!C30))</f>
        <v>2050.070270056</v>
      </c>
      <c r="C14" t="s">
        <v>47</v>
      </c>
      <c r="E14" t="s">
        <v>113</v>
      </c>
    </row>
    <row r="15" spans="1:5" ht="12.75">
      <c r="A15" s="11" t="s">
        <v>140</v>
      </c>
      <c r="B15">
        <f>Beregningsark!C80</f>
        <v>880</v>
      </c>
      <c r="C15" t="s">
        <v>47</v>
      </c>
      <c r="E15" t="s">
        <v>112</v>
      </c>
    </row>
    <row r="16" spans="1:7" ht="12.75">
      <c r="A16" s="11" t="s">
        <v>141</v>
      </c>
      <c r="B16">
        <f>Beregningsark!C80</f>
        <v>880</v>
      </c>
      <c r="C16" t="s">
        <v>47</v>
      </c>
      <c r="E16" t="s">
        <v>162</v>
      </c>
      <c r="F16">
        <f>(2*B22*C39)/(PI()*(C28+C29))</f>
        <v>0</v>
      </c>
      <c r="G16" t="s">
        <v>133</v>
      </c>
    </row>
    <row r="17" spans="1:3" ht="15.75">
      <c r="A17" s="11" t="s">
        <v>32</v>
      </c>
      <c r="B17" s="4">
        <f>Beregningsark!C24</f>
        <v>4.25E-10</v>
      </c>
      <c r="C17" t="s">
        <v>31</v>
      </c>
    </row>
    <row r="18" spans="1:3" ht="15.75">
      <c r="A18" s="11" t="s">
        <v>30</v>
      </c>
      <c r="B18" s="4">
        <f>Beregningsark!C23</f>
        <v>-1.699915E-10</v>
      </c>
      <c r="C18" t="s">
        <v>31</v>
      </c>
    </row>
    <row r="19" spans="1:3" ht="15.75">
      <c r="A19" s="11" t="s">
        <v>33</v>
      </c>
      <c r="B19" s="4">
        <f>Beregningsark!C24</f>
        <v>4.25E-10</v>
      </c>
      <c r="C19" t="s">
        <v>31</v>
      </c>
    </row>
    <row r="20" spans="1:3" ht="15.75">
      <c r="A20" s="11" t="s">
        <v>35</v>
      </c>
      <c r="B20" s="18">
        <f>Beregningsark!C27</f>
        <v>-0.0106645</v>
      </c>
      <c r="C20" t="s">
        <v>36</v>
      </c>
    </row>
    <row r="21" spans="1:3" ht="15.75">
      <c r="A21" s="11" t="s">
        <v>37</v>
      </c>
      <c r="B21" s="18">
        <f>Beregningsark!C28</f>
        <v>0.0266625</v>
      </c>
      <c r="C21" t="s">
        <v>36</v>
      </c>
    </row>
    <row r="22" spans="1:3" ht="15.75">
      <c r="A22" s="11" t="s">
        <v>38</v>
      </c>
      <c r="B22" s="18">
        <f>Beregningsark!C29</f>
        <v>0.0373269</v>
      </c>
      <c r="C22" t="s">
        <v>36</v>
      </c>
    </row>
    <row r="25" ht="12.75">
      <c r="A25" s="19" t="s">
        <v>105</v>
      </c>
    </row>
    <row r="27" ht="12.75">
      <c r="A27" t="s">
        <v>108</v>
      </c>
    </row>
    <row r="28" spans="2:4" ht="12.75">
      <c r="B28" t="s">
        <v>124</v>
      </c>
      <c r="C28" s="17">
        <f>Calculator!D12/1000</f>
        <v>0.025</v>
      </c>
      <c r="D28" t="s">
        <v>116</v>
      </c>
    </row>
    <row r="29" spans="2:4" ht="12.75">
      <c r="B29" t="s">
        <v>125</v>
      </c>
      <c r="C29" s="17">
        <f>Calculator!D13/1000</f>
        <v>0</v>
      </c>
      <c r="D29" t="s">
        <v>116</v>
      </c>
    </row>
    <row r="30" spans="2:4" ht="12.75">
      <c r="B30" t="s">
        <v>126</v>
      </c>
      <c r="C30" s="17">
        <f>Calculator!D14/1000</f>
        <v>0.001</v>
      </c>
      <c r="D30" t="s">
        <v>116</v>
      </c>
    </row>
    <row r="32" ht="12.75">
      <c r="A32" t="s">
        <v>109</v>
      </c>
    </row>
    <row r="33" spans="2:4" ht="12.75">
      <c r="B33" t="s">
        <v>106</v>
      </c>
      <c r="C33">
        <f>Calculator!D17</f>
        <v>0</v>
      </c>
      <c r="D33" t="s">
        <v>114</v>
      </c>
    </row>
    <row r="36" ht="12.75">
      <c r="A36" t="s">
        <v>107</v>
      </c>
    </row>
    <row r="37" spans="2:4" ht="12.75">
      <c r="B37" t="s">
        <v>118</v>
      </c>
      <c r="C37">
        <f>Calculator!D20</f>
        <v>0</v>
      </c>
      <c r="D37" t="s">
        <v>115</v>
      </c>
    </row>
    <row r="38" spans="2:4" ht="12.75">
      <c r="B38" t="s">
        <v>119</v>
      </c>
      <c r="C38">
        <f>Calculator!D21</f>
        <v>0</v>
      </c>
      <c r="D38" t="s">
        <v>115</v>
      </c>
    </row>
    <row r="39" spans="2:4" ht="12.75">
      <c r="B39" t="s">
        <v>137</v>
      </c>
      <c r="C39">
        <f>Calculator!D22</f>
        <v>0</v>
      </c>
      <c r="D39" t="s">
        <v>115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"/>
  <sheetViews>
    <sheetView zoomScale="75" zoomScaleNormal="75" workbookViewId="0" topLeftCell="C1">
      <selection activeCell="A1" sqref="A1"/>
    </sheetView>
  </sheetViews>
  <sheetFormatPr defaultColWidth="8.8515625" defaultRowHeight="12.75"/>
  <cols>
    <col min="1" max="1" width="3.00390625" style="22" customWidth="1"/>
    <col min="2" max="2" width="28.421875" style="22" customWidth="1"/>
    <col min="3" max="3" width="9.7109375" style="22" bestFit="1" customWidth="1"/>
    <col min="4" max="5" width="8.8515625" style="22" customWidth="1"/>
    <col min="6" max="6" width="28.421875" style="22" customWidth="1"/>
    <col min="7" max="9" width="8.8515625" style="22" customWidth="1"/>
    <col min="10" max="10" width="28.421875" style="22" customWidth="1"/>
    <col min="11" max="13" width="8.8515625" style="22" customWidth="1"/>
    <col min="14" max="14" width="28.421875" style="22" customWidth="1"/>
    <col min="15" max="15" width="11.8515625" style="22" customWidth="1"/>
    <col min="16" max="17" width="8.8515625" style="22" customWidth="1"/>
    <col min="18" max="18" width="28.421875" style="22" customWidth="1"/>
    <col min="19" max="21" width="8.8515625" style="22" customWidth="1"/>
    <col min="22" max="22" width="28.421875" style="22" customWidth="1"/>
    <col min="23" max="16384" width="8.8515625" style="22" customWidth="1"/>
  </cols>
  <sheetData>
    <row r="1" spans="2:22" ht="12.75">
      <c r="B1" s="22">
        <v>1</v>
      </c>
      <c r="F1" s="22">
        <v>2</v>
      </c>
      <c r="J1" s="22">
        <v>3</v>
      </c>
      <c r="N1" s="22">
        <v>4</v>
      </c>
      <c r="R1" s="22">
        <v>5</v>
      </c>
      <c r="V1" s="22">
        <v>6</v>
      </c>
    </row>
    <row r="2" ht="13.5" thickBot="1"/>
    <row r="3" spans="2:24" ht="18">
      <c r="B3" s="42" t="str">
        <f>Beregningsark!$C$10&amp;" Disc  "&amp;Calculator!$D$12&amp;" x "&amp;Calculator!$D$14&amp;" mm"</f>
        <v>Pz27  Disc  25 x 1 mm</v>
      </c>
      <c r="C3" s="43"/>
      <c r="D3" s="44"/>
      <c r="F3" s="42" t="str">
        <f>Beregningsark!$C$10&amp;" Ring  "&amp;Calculator!$D$12&amp;" x "&amp;Calculator!$D$13&amp;" x "&amp;Calculator!$D$14&amp;" mm"</f>
        <v>Pz27  Ring  25 x 0 x 1 mm</v>
      </c>
      <c r="G3" s="43"/>
      <c r="H3" s="44"/>
      <c r="J3" s="42" t="str">
        <f>Beregningsark!$C$10&amp;" Tube  "&amp;Calculator!$D$12&amp;" x "&amp;Calculator!$D$13&amp;" x "&amp;Calculator!$D$14&amp;" mm"</f>
        <v>Pz27  Tube  25 x 0 x 1 mm</v>
      </c>
      <c r="K3" s="43"/>
      <c r="L3" s="44"/>
      <c r="N3" s="42" t="str">
        <f>Beregningsark!$C$10&amp;" Plate  "&amp;Calculator!$D$12&amp;" x "&amp;Calculator!$D$13&amp;" x "&amp;Calculator!$D$14&amp;" mm"</f>
        <v>Pz27  Plate  25 x 0 x 1 mm</v>
      </c>
      <c r="O3" s="43"/>
      <c r="P3" s="44"/>
      <c r="R3" s="42" t="str">
        <f>Beregningsark!$C$10&amp;" Shear Plate  "&amp;Calculator!$D$12&amp;" x "&amp;Calculator!$D$13&amp;" x "&amp;Calculator!$D$14&amp;" mm"</f>
        <v>Pz27  Shear Plate  25 x 0 x 1 mm</v>
      </c>
      <c r="S3" s="43"/>
      <c r="T3" s="44"/>
      <c r="V3" s="42" t="str">
        <f>Beregningsark!$C$10&amp;" Shear Tube  "&amp;Calculator!$D$12&amp;" x "&amp;Calculator!$D$13&amp;" x "&amp;Calculator!$D$14&amp;" mm"</f>
        <v>Pz27  Shear Tube  25 x 0 x 1 mm</v>
      </c>
      <c r="W3" s="43"/>
      <c r="X3" s="44"/>
    </row>
    <row r="4" spans="2:24" ht="18.75" thickBot="1">
      <c r="B4" s="45"/>
      <c r="C4" s="46"/>
      <c r="D4" s="47"/>
      <c r="F4" s="45"/>
      <c r="G4" s="46"/>
      <c r="H4" s="47"/>
      <c r="J4" s="45"/>
      <c r="K4" s="46"/>
      <c r="L4" s="47"/>
      <c r="N4" s="45"/>
      <c r="O4" s="46"/>
      <c r="P4" s="47"/>
      <c r="R4" s="45"/>
      <c r="S4" s="46"/>
      <c r="T4" s="47"/>
      <c r="V4" s="45"/>
      <c r="W4" s="46"/>
      <c r="X4" s="47"/>
    </row>
    <row r="5" spans="2:24" ht="13.5" thickBot="1">
      <c r="B5" s="37" t="s">
        <v>155</v>
      </c>
      <c r="C5" s="49">
        <f>Discs!$F$7</f>
        <v>7835.193721991294</v>
      </c>
      <c r="D5" s="25" t="s">
        <v>2</v>
      </c>
      <c r="F5" s="37" t="s">
        <v>155</v>
      </c>
      <c r="G5" s="49">
        <f>Ring!$F$7</f>
        <v>7835.193721991294</v>
      </c>
      <c r="H5" s="25" t="s">
        <v>2</v>
      </c>
      <c r="J5" s="37" t="s">
        <v>155</v>
      </c>
      <c r="K5" s="49" t="e">
        <f>tubes!$F$7</f>
        <v>#DIV/0!</v>
      </c>
      <c r="L5" s="25" t="s">
        <v>2</v>
      </c>
      <c r="N5" s="37" t="s">
        <v>155</v>
      </c>
      <c r="O5" s="49">
        <f>Plates!$F$7</f>
        <v>0</v>
      </c>
      <c r="P5" s="25" t="s">
        <v>2</v>
      </c>
      <c r="R5" s="37" t="s">
        <v>155</v>
      </c>
      <c r="S5" s="49">
        <f>'Shear Plates '!$F$7</f>
        <v>0</v>
      </c>
      <c r="T5" s="25" t="s">
        <v>2</v>
      </c>
      <c r="V5" s="37" t="s">
        <v>155</v>
      </c>
      <c r="W5" s="49" t="e">
        <f>'Shear Tube'!$F$7</f>
        <v>#DIV/0!</v>
      </c>
      <c r="X5" s="25" t="s">
        <v>2</v>
      </c>
    </row>
    <row r="6" spans="2:24" ht="12.75">
      <c r="B6" s="37"/>
      <c r="C6" s="85"/>
      <c r="D6" s="25"/>
      <c r="F6" s="37"/>
      <c r="G6" s="85"/>
      <c r="H6" s="25"/>
      <c r="J6" s="37"/>
      <c r="K6" s="85"/>
      <c r="L6" s="25"/>
      <c r="N6" s="37"/>
      <c r="O6" s="85"/>
      <c r="P6" s="25"/>
      <c r="R6" s="37"/>
      <c r="S6" s="85"/>
      <c r="T6" s="25"/>
      <c r="V6" s="37"/>
      <c r="W6" s="85"/>
      <c r="X6" s="25"/>
    </row>
    <row r="7" spans="2:24" ht="13.5" thickBot="1">
      <c r="B7" s="36" t="s">
        <v>171</v>
      </c>
      <c r="C7" s="53"/>
      <c r="D7" s="25"/>
      <c r="F7" s="36" t="s">
        <v>171</v>
      </c>
      <c r="G7" s="53"/>
      <c r="H7" s="25"/>
      <c r="J7" s="36" t="s">
        <v>171</v>
      </c>
      <c r="K7" s="53"/>
      <c r="L7" s="25"/>
      <c r="N7" s="36" t="s">
        <v>171</v>
      </c>
      <c r="O7" s="53"/>
      <c r="P7" s="25"/>
      <c r="R7" s="36" t="s">
        <v>171</v>
      </c>
      <c r="S7" s="53"/>
      <c r="T7" s="25"/>
      <c r="V7" s="36" t="s">
        <v>171</v>
      </c>
      <c r="W7" s="53"/>
      <c r="X7" s="25"/>
    </row>
    <row r="8" spans="2:24" ht="13.5" thickBot="1">
      <c r="B8" s="51" t="s">
        <v>172</v>
      </c>
      <c r="C8" s="49">
        <f>Discs!$F$8</f>
        <v>80.44319999999999</v>
      </c>
      <c r="D8" s="25" t="s">
        <v>3</v>
      </c>
      <c r="F8" s="51" t="s">
        <v>172</v>
      </c>
      <c r="G8" s="49" t="s">
        <v>170</v>
      </c>
      <c r="H8" s="25" t="s">
        <v>3</v>
      </c>
      <c r="J8" s="51" t="s">
        <v>172</v>
      </c>
      <c r="K8" s="49" t="s">
        <v>170</v>
      </c>
      <c r="L8" s="25" t="s">
        <v>3</v>
      </c>
      <c r="N8" s="51" t="s">
        <v>172</v>
      </c>
      <c r="O8" s="49" t="s">
        <v>170</v>
      </c>
      <c r="P8" s="25" t="s">
        <v>3</v>
      </c>
      <c r="R8" s="51" t="s">
        <v>172</v>
      </c>
      <c r="S8" s="49" t="s">
        <v>170</v>
      </c>
      <c r="T8" s="25" t="s">
        <v>3</v>
      </c>
      <c r="V8" s="51" t="s">
        <v>172</v>
      </c>
      <c r="W8" s="49" t="s">
        <v>170</v>
      </c>
      <c r="X8" s="25" t="s">
        <v>3</v>
      </c>
    </row>
    <row r="9" spans="2:24" ht="13.5" thickBot="1">
      <c r="B9" s="51" t="s">
        <v>173</v>
      </c>
      <c r="C9" s="49">
        <f>Discs!$F$9</f>
        <v>2050.070270056</v>
      </c>
      <c r="D9" s="25" t="s">
        <v>3</v>
      </c>
      <c r="F9" s="51" t="s">
        <v>173</v>
      </c>
      <c r="G9" s="49">
        <f>Ring!$F$9</f>
        <v>2050.070270056</v>
      </c>
      <c r="H9" s="25" t="s">
        <v>3</v>
      </c>
      <c r="J9" s="51" t="s">
        <v>173</v>
      </c>
      <c r="K9" s="49" t="s">
        <v>170</v>
      </c>
      <c r="L9" s="25" t="s">
        <v>3</v>
      </c>
      <c r="N9" s="51" t="s">
        <v>173</v>
      </c>
      <c r="O9" s="49">
        <f>Plates!$F$10</f>
        <v>2050.070270056</v>
      </c>
      <c r="P9" s="25" t="s">
        <v>3</v>
      </c>
      <c r="R9" s="51" t="s">
        <v>173</v>
      </c>
      <c r="S9" s="49" t="s">
        <v>170</v>
      </c>
      <c r="T9" s="25" t="s">
        <v>3</v>
      </c>
      <c r="V9" s="51" t="s">
        <v>173</v>
      </c>
      <c r="W9" s="49" t="s">
        <v>170</v>
      </c>
      <c r="X9" s="25" t="s">
        <v>3</v>
      </c>
    </row>
    <row r="10" spans="2:24" ht="13.5" thickBot="1">
      <c r="B10" s="51" t="s">
        <v>174</v>
      </c>
      <c r="C10" s="49" t="s">
        <v>170</v>
      </c>
      <c r="D10" s="25" t="s">
        <v>3</v>
      </c>
      <c r="F10" s="51" t="s">
        <v>174</v>
      </c>
      <c r="G10" s="49" t="e">
        <f>Ring!$F$10</f>
        <v>#DIV/0!</v>
      </c>
      <c r="H10" s="25" t="s">
        <v>3</v>
      </c>
      <c r="J10" s="51" t="s">
        <v>174</v>
      </c>
      <c r="K10" s="49">
        <f>tubes!$F$11</f>
        <v>70.39999999999999</v>
      </c>
      <c r="L10" s="25" t="s">
        <v>3</v>
      </c>
      <c r="N10" s="51" t="s">
        <v>174</v>
      </c>
      <c r="O10" s="49" t="s">
        <v>170</v>
      </c>
      <c r="P10" s="25" t="s">
        <v>3</v>
      </c>
      <c r="R10" s="51" t="s">
        <v>174</v>
      </c>
      <c r="S10" s="49" t="s">
        <v>170</v>
      </c>
      <c r="T10" s="25" t="s">
        <v>3</v>
      </c>
      <c r="V10" s="51" t="s">
        <v>174</v>
      </c>
      <c r="W10" s="49" t="s">
        <v>170</v>
      </c>
      <c r="X10" s="25" t="s">
        <v>3</v>
      </c>
    </row>
    <row r="11" spans="2:24" ht="13.5" thickBot="1">
      <c r="B11" s="51" t="s">
        <v>175</v>
      </c>
      <c r="C11" s="49" t="s">
        <v>170</v>
      </c>
      <c r="D11" s="25" t="s">
        <v>3</v>
      </c>
      <c r="F11" s="51" t="s">
        <v>175</v>
      </c>
      <c r="G11" s="49">
        <f>Ring!F8</f>
        <v>112</v>
      </c>
      <c r="H11" s="25" t="s">
        <v>3</v>
      </c>
      <c r="J11" s="51" t="s">
        <v>175</v>
      </c>
      <c r="K11" s="49">
        <f>tubes!$F$9</f>
        <v>164.00562160447998</v>
      </c>
      <c r="L11" s="25" t="s">
        <v>3</v>
      </c>
      <c r="N11" s="51" t="s">
        <v>175</v>
      </c>
      <c r="O11" s="49" t="s">
        <v>170</v>
      </c>
      <c r="P11" s="25" t="s">
        <v>3</v>
      </c>
      <c r="R11" s="51" t="s">
        <v>175</v>
      </c>
      <c r="S11" s="49" t="s">
        <v>170</v>
      </c>
      <c r="T11" s="25" t="s">
        <v>3</v>
      </c>
      <c r="V11" s="51" t="s">
        <v>175</v>
      </c>
      <c r="W11" s="49" t="s">
        <v>170</v>
      </c>
      <c r="X11" s="25" t="s">
        <v>3</v>
      </c>
    </row>
    <row r="12" spans="2:24" ht="13.5" thickBot="1">
      <c r="B12" s="51" t="s">
        <v>176</v>
      </c>
      <c r="C12" s="49" t="s">
        <v>170</v>
      </c>
      <c r="D12" s="25" t="s">
        <v>3</v>
      </c>
      <c r="F12" s="51" t="s">
        <v>176</v>
      </c>
      <c r="G12" s="49" t="s">
        <v>170</v>
      </c>
      <c r="H12" s="25" t="s">
        <v>3</v>
      </c>
      <c r="J12" s="51" t="s">
        <v>176</v>
      </c>
      <c r="K12" s="49">
        <f>tubes!$F$10</f>
        <v>1400</v>
      </c>
      <c r="L12" s="25" t="s">
        <v>3</v>
      </c>
      <c r="N12" s="51" t="s">
        <v>176</v>
      </c>
      <c r="O12" s="49">
        <f>Plates!$F$8</f>
        <v>56</v>
      </c>
      <c r="P12" s="25" t="s">
        <v>3</v>
      </c>
      <c r="R12" s="51" t="s">
        <v>176</v>
      </c>
      <c r="S12" s="49" t="s">
        <v>170</v>
      </c>
      <c r="T12" s="25" t="s">
        <v>3</v>
      </c>
      <c r="V12" s="51" t="s">
        <v>176</v>
      </c>
      <c r="W12" s="49" t="s">
        <v>170</v>
      </c>
      <c r="X12" s="25" t="s">
        <v>3</v>
      </c>
    </row>
    <row r="13" spans="2:24" ht="13.5" thickBot="1">
      <c r="B13" s="51" t="s">
        <v>177</v>
      </c>
      <c r="C13" s="49" t="s">
        <v>170</v>
      </c>
      <c r="D13" s="25" t="s">
        <v>3</v>
      </c>
      <c r="F13" s="51" t="s">
        <v>177</v>
      </c>
      <c r="G13" s="49" t="s">
        <v>170</v>
      </c>
      <c r="H13" s="25" t="s">
        <v>3</v>
      </c>
      <c r="J13" s="51" t="s">
        <v>177</v>
      </c>
      <c r="K13" s="49" t="s">
        <v>170</v>
      </c>
      <c r="L13" s="25" t="s">
        <v>3</v>
      </c>
      <c r="N13" s="51" t="s">
        <v>177</v>
      </c>
      <c r="O13" s="49" t="e">
        <f>Plates!$F$9</f>
        <v>#DIV/0!</v>
      </c>
      <c r="P13" s="25" t="s">
        <v>3</v>
      </c>
      <c r="R13" s="51" t="s">
        <v>177</v>
      </c>
      <c r="S13" s="49" t="s">
        <v>170</v>
      </c>
      <c r="T13" s="25" t="s">
        <v>3</v>
      </c>
      <c r="V13" s="51" t="s">
        <v>177</v>
      </c>
      <c r="W13" s="49" t="s">
        <v>170</v>
      </c>
      <c r="X13" s="25" t="s">
        <v>3</v>
      </c>
    </row>
    <row r="14" spans="2:24" ht="13.5" thickBot="1">
      <c r="B14" s="51" t="s">
        <v>178</v>
      </c>
      <c r="C14" s="49" t="s">
        <v>170</v>
      </c>
      <c r="D14" s="25" t="s">
        <v>3</v>
      </c>
      <c r="F14" s="51" t="s">
        <v>178</v>
      </c>
      <c r="G14" s="49" t="s">
        <v>170</v>
      </c>
      <c r="H14" s="25" t="s">
        <v>3</v>
      </c>
      <c r="J14" s="51" t="s">
        <v>178</v>
      </c>
      <c r="K14" s="49" t="s">
        <v>170</v>
      </c>
      <c r="L14" s="25" t="s">
        <v>3</v>
      </c>
      <c r="N14" s="51" t="s">
        <v>178</v>
      </c>
      <c r="O14" s="49" t="s">
        <v>170</v>
      </c>
      <c r="P14" s="25" t="s">
        <v>3</v>
      </c>
      <c r="R14" s="51" t="s">
        <v>178</v>
      </c>
      <c r="S14" s="49">
        <f>'Shear Plates '!$F$9</f>
        <v>895.72</v>
      </c>
      <c r="T14" s="25" t="s">
        <v>3</v>
      </c>
      <c r="V14" s="51" t="s">
        <v>178</v>
      </c>
      <c r="W14" s="49">
        <f>'Shear Tube'!$F$8</f>
        <v>71.6576</v>
      </c>
      <c r="X14" s="25" t="s">
        <v>3</v>
      </c>
    </row>
    <row r="15" spans="2:24" ht="12.75">
      <c r="B15" s="37"/>
      <c r="C15" s="53"/>
      <c r="D15" s="25"/>
      <c r="F15" s="37"/>
      <c r="G15" s="53"/>
      <c r="H15" s="25"/>
      <c r="J15" s="37"/>
      <c r="K15" s="53"/>
      <c r="L15" s="25"/>
      <c r="N15" s="37"/>
      <c r="O15" s="53"/>
      <c r="P15" s="25"/>
      <c r="R15" s="37"/>
      <c r="S15" s="53"/>
      <c r="T15" s="25"/>
      <c r="V15" s="37"/>
      <c r="W15" s="53"/>
      <c r="X15" s="25"/>
    </row>
    <row r="16" spans="2:24" ht="13.5" thickBot="1">
      <c r="B16" s="36" t="str">
        <f>"Static displacement at "&amp;Discs!$C$33&amp;" volts"</f>
        <v>Static displacement at 0 volts</v>
      </c>
      <c r="C16" s="85"/>
      <c r="D16" s="25"/>
      <c r="F16" s="36" t="str">
        <f>"Static displacement at "&amp;Discs!$C$33&amp;" volts"</f>
        <v>Static displacement at 0 volts</v>
      </c>
      <c r="G16" s="85"/>
      <c r="H16" s="25"/>
      <c r="J16" s="36" t="str">
        <f>"Static displacement at "&amp;Discs!$C$33&amp;" volts"</f>
        <v>Static displacement at 0 volts</v>
      </c>
      <c r="K16" s="85"/>
      <c r="L16" s="25"/>
      <c r="N16" s="36" t="str">
        <f>"Static displacement at "&amp;Discs!$C$33&amp;" volts"</f>
        <v>Static displacement at 0 volts</v>
      </c>
      <c r="O16" s="85"/>
      <c r="P16" s="25"/>
      <c r="R16" s="36" t="str">
        <f>"Static displacement at "&amp;Discs!$C$33&amp;" volts"</f>
        <v>Static displacement at 0 volts</v>
      </c>
      <c r="S16" s="85"/>
      <c r="T16" s="25"/>
      <c r="V16" s="36" t="str">
        <f>"Static displacement at "&amp;Discs!$C$33&amp;" volts"</f>
        <v>Static displacement at 0 volts</v>
      </c>
      <c r="W16" s="85"/>
      <c r="X16" s="25"/>
    </row>
    <row r="17" spans="2:24" ht="16.5" thickBot="1">
      <c r="B17" s="50" t="s">
        <v>156</v>
      </c>
      <c r="C17" s="81">
        <f>Discs!$F$11</f>
        <v>0</v>
      </c>
      <c r="D17" s="84" t="s">
        <v>199</v>
      </c>
      <c r="F17" s="50" t="s">
        <v>156</v>
      </c>
      <c r="G17" s="81">
        <f>Ring!$F$11</f>
        <v>0</v>
      </c>
      <c r="H17" s="84" t="s">
        <v>199</v>
      </c>
      <c r="J17" s="50" t="s">
        <v>156</v>
      </c>
      <c r="K17" s="81">
        <f>tubes!$F$12</f>
        <v>0</v>
      </c>
      <c r="L17" s="84" t="s">
        <v>199</v>
      </c>
      <c r="N17" s="50" t="s">
        <v>156</v>
      </c>
      <c r="O17" s="49" t="s">
        <v>170</v>
      </c>
      <c r="P17" s="84" t="s">
        <v>199</v>
      </c>
      <c r="R17" s="50" t="s">
        <v>156</v>
      </c>
      <c r="S17" s="49" t="s">
        <v>170</v>
      </c>
      <c r="T17" s="84" t="s">
        <v>199</v>
      </c>
      <c r="V17" s="50" t="s">
        <v>156</v>
      </c>
      <c r="W17" s="49" t="s">
        <v>170</v>
      </c>
      <c r="X17" s="84" t="s">
        <v>199</v>
      </c>
    </row>
    <row r="18" spans="2:24" ht="16.5" thickBot="1">
      <c r="B18" s="50" t="s">
        <v>157</v>
      </c>
      <c r="C18" s="81">
        <f>Discs!$F$12</f>
        <v>0</v>
      </c>
      <c r="D18" s="84" t="s">
        <v>199</v>
      </c>
      <c r="F18" s="50" t="s">
        <v>157</v>
      </c>
      <c r="G18" s="81">
        <f>Ring!$F$12</f>
        <v>0</v>
      </c>
      <c r="H18" s="84" t="s">
        <v>199</v>
      </c>
      <c r="J18" s="50" t="s">
        <v>157</v>
      </c>
      <c r="K18" s="49" t="s">
        <v>170</v>
      </c>
      <c r="L18" s="84" t="s">
        <v>199</v>
      </c>
      <c r="N18" s="50" t="s">
        <v>157</v>
      </c>
      <c r="O18" s="49" t="s">
        <v>170</v>
      </c>
      <c r="P18" s="84" t="s">
        <v>199</v>
      </c>
      <c r="R18" s="50" t="s">
        <v>157</v>
      </c>
      <c r="S18" s="49" t="s">
        <v>170</v>
      </c>
      <c r="T18" s="84" t="s">
        <v>199</v>
      </c>
      <c r="V18" s="50" t="s">
        <v>157</v>
      </c>
      <c r="W18" s="49" t="s">
        <v>170</v>
      </c>
      <c r="X18" s="84" t="s">
        <v>199</v>
      </c>
    </row>
    <row r="19" spans="2:24" ht="16.5" thickBot="1">
      <c r="B19" s="50" t="s">
        <v>159</v>
      </c>
      <c r="C19" s="49" t="s">
        <v>170</v>
      </c>
      <c r="D19" s="84" t="s">
        <v>199</v>
      </c>
      <c r="F19" s="50" t="s">
        <v>159</v>
      </c>
      <c r="G19" s="49" t="s">
        <v>170</v>
      </c>
      <c r="H19" s="84" t="s">
        <v>199</v>
      </c>
      <c r="J19" s="50" t="s">
        <v>159</v>
      </c>
      <c r="K19" s="49" t="s">
        <v>170</v>
      </c>
      <c r="L19" s="84" t="s">
        <v>199</v>
      </c>
      <c r="N19" s="50" t="s">
        <v>159</v>
      </c>
      <c r="O19" s="81">
        <f>Plates!$F$11</f>
        <v>0</v>
      </c>
      <c r="P19" s="84" t="s">
        <v>199</v>
      </c>
      <c r="R19" s="50" t="s">
        <v>159</v>
      </c>
      <c r="S19" s="83">
        <f>'Shear Plates '!$F$11</f>
        <v>0</v>
      </c>
      <c r="T19" s="84" t="s">
        <v>199</v>
      </c>
      <c r="V19" s="50" t="s">
        <v>159</v>
      </c>
      <c r="W19" s="83">
        <f>'Shear Tube'!$F$12</f>
        <v>0</v>
      </c>
      <c r="X19" s="84" t="s">
        <v>199</v>
      </c>
    </row>
    <row r="20" spans="2:24" ht="16.5" thickBot="1">
      <c r="B20" s="50" t="s">
        <v>160</v>
      </c>
      <c r="C20" s="49" t="s">
        <v>170</v>
      </c>
      <c r="D20" s="84" t="s">
        <v>199</v>
      </c>
      <c r="F20" s="50" t="s">
        <v>160</v>
      </c>
      <c r="G20" s="49" t="s">
        <v>170</v>
      </c>
      <c r="H20" s="84" t="s">
        <v>199</v>
      </c>
      <c r="J20" s="50" t="s">
        <v>160</v>
      </c>
      <c r="K20" s="49" t="s">
        <v>170</v>
      </c>
      <c r="L20" s="84" t="s">
        <v>199</v>
      </c>
      <c r="N20" s="50" t="s">
        <v>160</v>
      </c>
      <c r="O20" s="81">
        <f>Plates!$F$12</f>
        <v>0</v>
      </c>
      <c r="P20" s="84" t="s">
        <v>199</v>
      </c>
      <c r="R20" s="50" t="s">
        <v>160</v>
      </c>
      <c r="S20" s="49" t="s">
        <v>170</v>
      </c>
      <c r="T20" s="84" t="s">
        <v>199</v>
      </c>
      <c r="V20" s="50" t="s">
        <v>160</v>
      </c>
      <c r="W20" s="49" t="s">
        <v>170</v>
      </c>
      <c r="X20" s="84" t="s">
        <v>199</v>
      </c>
    </row>
    <row r="21" spans="2:24" ht="16.5" thickBot="1">
      <c r="B21" s="50" t="s">
        <v>169</v>
      </c>
      <c r="C21" s="49" t="s">
        <v>170</v>
      </c>
      <c r="D21" s="84" t="s">
        <v>199</v>
      </c>
      <c r="F21" s="50" t="s">
        <v>169</v>
      </c>
      <c r="G21" s="49" t="s">
        <v>170</v>
      </c>
      <c r="H21" s="84" t="s">
        <v>199</v>
      </c>
      <c r="J21" s="50" t="s">
        <v>169</v>
      </c>
      <c r="K21" s="81">
        <f>tubes!$F$13</f>
        <v>0</v>
      </c>
      <c r="L21" s="84" t="s">
        <v>199</v>
      </c>
      <c r="N21" s="50" t="s">
        <v>169</v>
      </c>
      <c r="O21" s="81">
        <f>Plates!$F$13</f>
        <v>0</v>
      </c>
      <c r="P21" s="84" t="s">
        <v>199</v>
      </c>
      <c r="R21" s="50" t="s">
        <v>169</v>
      </c>
      <c r="S21" s="49" t="s">
        <v>170</v>
      </c>
      <c r="T21" s="84" t="s">
        <v>199</v>
      </c>
      <c r="V21" s="50" t="s">
        <v>169</v>
      </c>
      <c r="W21" s="49" t="s">
        <v>170</v>
      </c>
      <c r="X21" s="84" t="s">
        <v>199</v>
      </c>
    </row>
    <row r="22" spans="2:24" ht="12.75">
      <c r="B22" s="48"/>
      <c r="C22" s="53"/>
      <c r="D22" s="25"/>
      <c r="F22" s="48"/>
      <c r="G22" s="53"/>
      <c r="H22" s="25"/>
      <c r="J22" s="48"/>
      <c r="K22" s="53"/>
      <c r="L22" s="25"/>
      <c r="N22" s="48"/>
      <c r="O22" s="53"/>
      <c r="P22" s="25"/>
      <c r="R22" s="48"/>
      <c r="S22" s="53"/>
      <c r="T22" s="25"/>
      <c r="V22" s="48"/>
      <c r="W22" s="53"/>
      <c r="X22" s="25"/>
    </row>
    <row r="23" spans="2:24" ht="13.5" thickBot="1">
      <c r="B23" s="36" t="s">
        <v>158</v>
      </c>
      <c r="C23" s="86"/>
      <c r="D23" s="25"/>
      <c r="F23" s="36" t="s">
        <v>158</v>
      </c>
      <c r="G23" s="86"/>
      <c r="H23" s="25"/>
      <c r="J23" s="36" t="s">
        <v>158</v>
      </c>
      <c r="K23" s="86"/>
      <c r="L23" s="25"/>
      <c r="N23" s="36" t="s">
        <v>158</v>
      </c>
      <c r="O23" s="86"/>
      <c r="P23" s="25"/>
      <c r="R23" s="36" t="s">
        <v>158</v>
      </c>
      <c r="S23" s="87"/>
      <c r="T23" s="25"/>
      <c r="V23" s="36" t="s">
        <v>158</v>
      </c>
      <c r="W23" s="87"/>
      <c r="X23" s="25"/>
    </row>
    <row r="24" spans="2:24" ht="20.25" thickBot="1">
      <c r="B24" s="60" t="s">
        <v>186</v>
      </c>
      <c r="C24" s="81">
        <f>Discs!$F$14</f>
        <v>0</v>
      </c>
      <c r="D24" s="25" t="s">
        <v>149</v>
      </c>
      <c r="F24" s="60" t="s">
        <v>186</v>
      </c>
      <c r="G24" s="81">
        <f>Ring!$F$14</f>
        <v>0</v>
      </c>
      <c r="H24" s="25" t="s">
        <v>149</v>
      </c>
      <c r="J24" s="60" t="s">
        <v>186</v>
      </c>
      <c r="K24" s="81">
        <f>tubes!$F$15</f>
        <v>0</v>
      </c>
      <c r="L24" s="25" t="s">
        <v>149</v>
      </c>
      <c r="N24" s="60" t="s">
        <v>186</v>
      </c>
      <c r="O24" s="81" t="e">
        <f>Plates!F14</f>
        <v>#DIV/0!</v>
      </c>
      <c r="P24" s="25" t="s">
        <v>149</v>
      </c>
      <c r="R24" s="60" t="s">
        <v>186</v>
      </c>
      <c r="S24" s="52" t="s">
        <v>170</v>
      </c>
      <c r="T24" s="25" t="s">
        <v>149</v>
      </c>
      <c r="V24" s="60" t="s">
        <v>186</v>
      </c>
      <c r="W24" s="52" t="s">
        <v>170</v>
      </c>
      <c r="X24" s="25" t="s">
        <v>149</v>
      </c>
    </row>
    <row r="25" spans="2:24" ht="20.25" thickBot="1">
      <c r="B25" s="60" t="s">
        <v>187</v>
      </c>
      <c r="C25" s="52" t="s">
        <v>170</v>
      </c>
      <c r="D25" s="25" t="s">
        <v>149</v>
      </c>
      <c r="F25" s="60" t="s">
        <v>187</v>
      </c>
      <c r="G25" s="52" t="s">
        <v>170</v>
      </c>
      <c r="H25" s="25" t="s">
        <v>149</v>
      </c>
      <c r="J25" s="60" t="s">
        <v>187</v>
      </c>
      <c r="K25" s="52" t="s">
        <v>170</v>
      </c>
      <c r="L25" s="25" t="s">
        <v>149</v>
      </c>
      <c r="N25" s="60" t="s">
        <v>187</v>
      </c>
      <c r="O25" s="80">
        <f>Plates!F15</f>
        <v>0</v>
      </c>
      <c r="P25" s="25" t="s">
        <v>149</v>
      </c>
      <c r="R25" s="60" t="s">
        <v>187</v>
      </c>
      <c r="S25" s="52" t="s">
        <v>170</v>
      </c>
      <c r="T25" s="25" t="s">
        <v>149</v>
      </c>
      <c r="V25" s="60" t="s">
        <v>187</v>
      </c>
      <c r="W25" s="52" t="s">
        <v>170</v>
      </c>
      <c r="X25" s="25" t="s">
        <v>149</v>
      </c>
    </row>
    <row r="26" spans="2:24" ht="20.25" thickBot="1">
      <c r="B26" s="60" t="s">
        <v>188</v>
      </c>
      <c r="C26" s="80">
        <f>Discs!F15</f>
        <v>0</v>
      </c>
      <c r="D26" s="25" t="s">
        <v>149</v>
      </c>
      <c r="F26" s="60" t="s">
        <v>188</v>
      </c>
      <c r="G26" s="80">
        <f>Ring!F15</f>
        <v>0</v>
      </c>
      <c r="H26" s="25" t="s">
        <v>149</v>
      </c>
      <c r="J26" s="60" t="s">
        <v>188</v>
      </c>
      <c r="K26" s="80">
        <f>tubes!F16</f>
        <v>0</v>
      </c>
      <c r="L26" s="25" t="s">
        <v>149</v>
      </c>
      <c r="N26" s="60" t="s">
        <v>188</v>
      </c>
      <c r="O26" s="81" t="e">
        <f>Plates!F16</f>
        <v>#DIV/0!</v>
      </c>
      <c r="P26" s="25" t="s">
        <v>149</v>
      </c>
      <c r="R26" s="60" t="s">
        <v>188</v>
      </c>
      <c r="S26" s="82" t="s">
        <v>170</v>
      </c>
      <c r="T26" s="25" t="s">
        <v>149</v>
      </c>
      <c r="V26" s="60" t="s">
        <v>188</v>
      </c>
      <c r="W26" s="82" t="s">
        <v>170</v>
      </c>
      <c r="X26" s="25" t="s">
        <v>149</v>
      </c>
    </row>
    <row r="27" spans="2:24" ht="16.5" thickBot="1">
      <c r="B27" s="51" t="s">
        <v>161</v>
      </c>
      <c r="C27" s="80" t="s">
        <v>170</v>
      </c>
      <c r="D27" s="25" t="s">
        <v>149</v>
      </c>
      <c r="F27" s="51" t="s">
        <v>161</v>
      </c>
      <c r="G27" s="80" t="s">
        <v>170</v>
      </c>
      <c r="H27" s="25" t="s">
        <v>149</v>
      </c>
      <c r="J27" s="51" t="s">
        <v>161</v>
      </c>
      <c r="K27" s="80" t="s">
        <v>170</v>
      </c>
      <c r="L27" s="25" t="s">
        <v>149</v>
      </c>
      <c r="N27" s="51" t="s">
        <v>161</v>
      </c>
      <c r="O27" s="80" t="s">
        <v>170</v>
      </c>
      <c r="P27" s="25" t="s">
        <v>149</v>
      </c>
      <c r="R27" s="51" t="s">
        <v>161</v>
      </c>
      <c r="S27" s="83" t="e">
        <f>'Shear Plates '!F16</f>
        <v>#DIV/0!</v>
      </c>
      <c r="T27" s="25" t="s">
        <v>149</v>
      </c>
      <c r="V27" s="51" t="s">
        <v>161</v>
      </c>
      <c r="W27" s="83">
        <f>'Shear Tube'!F16</f>
        <v>0</v>
      </c>
      <c r="X27" s="25" t="s">
        <v>149</v>
      </c>
    </row>
    <row r="28" spans="2:24" ht="13.5" thickBot="1">
      <c r="B28" s="38"/>
      <c r="C28" s="39"/>
      <c r="D28" s="40"/>
      <c r="F28" s="38"/>
      <c r="G28" s="39"/>
      <c r="H28" s="40"/>
      <c r="J28" s="38"/>
      <c r="K28" s="39"/>
      <c r="L28" s="40"/>
      <c r="N28" s="38"/>
      <c r="O28" s="39"/>
      <c r="P28" s="40"/>
      <c r="R28" s="38"/>
      <c r="S28" s="39"/>
      <c r="T28" s="40"/>
      <c r="V28" s="38"/>
      <c r="W28" s="39"/>
      <c r="X28" s="40"/>
    </row>
    <row r="29" ht="12.75"/>
  </sheetData>
  <printOptions/>
  <pageMargins left="0.75" right="0.75" top="1" bottom="1" header="0" footer="0"/>
  <pageSetup fitToHeight="1" fitToWidth="1" horizontalDpi="600" verticalDpi="600" orientation="landscape" paperSize="9" scale="39" r:id="rId3"/>
  <headerFooter alignWithMargins="0">
    <oddFooter>&amp;CFerroperm Piezoceramics A/S
Hejreskovvej 18A    DK-3490 Kvistgaard    Denmark    Tel: +45 - 4912 7100    Fax: +45 - 4913 8188
Internet:  www.ferroperm-piezo.com   E-mail: pz@ferroperm-piezo.com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6"/>
  <dimension ref="A1:M73"/>
  <sheetViews>
    <sheetView zoomScale="75" zoomScaleNormal="75" workbookViewId="0" topLeftCell="A1">
      <pane ySplit="2" topLeftCell="BM4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89" customWidth="1"/>
    <col min="2" max="2" width="5.7109375" style="0" customWidth="1"/>
    <col min="3" max="14" width="10.7109375" style="0" customWidth="1"/>
  </cols>
  <sheetData>
    <row r="1" spans="3:1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</row>
    <row r="2" spans="1:12" ht="12.75">
      <c r="A2" s="90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</row>
    <row r="3" spans="1:12" ht="15.75">
      <c r="A3" s="91" t="s">
        <v>201</v>
      </c>
      <c r="C3" s="7">
        <v>3244.97</v>
      </c>
      <c r="D3" s="7">
        <v>1374.84</v>
      </c>
      <c r="E3" s="7">
        <v>810</v>
      </c>
      <c r="F3" s="7">
        <v>1193.04</v>
      </c>
      <c r="G3" s="7">
        <v>1795.99</v>
      </c>
      <c r="H3" s="7">
        <v>1219.69</v>
      </c>
      <c r="I3" s="7">
        <v>2438</v>
      </c>
      <c r="J3" s="7">
        <v>236.66</v>
      </c>
      <c r="K3" s="7">
        <v>246.53</v>
      </c>
      <c r="L3" s="7">
        <v>127.47</v>
      </c>
    </row>
    <row r="4" spans="1:12" ht="15.75">
      <c r="A4" s="92" t="s">
        <v>202</v>
      </c>
      <c r="C4" s="7">
        <v>3984.62</v>
      </c>
      <c r="D4" s="7">
        <v>1503.26</v>
      </c>
      <c r="E4" s="7">
        <v>425.49</v>
      </c>
      <c r="F4" s="7">
        <v>1300</v>
      </c>
      <c r="G4" s="7">
        <v>1802.77</v>
      </c>
      <c r="H4" s="7">
        <v>989.52</v>
      </c>
      <c r="I4" s="7">
        <v>2874.16</v>
      </c>
      <c r="J4" s="7">
        <v>208.22</v>
      </c>
      <c r="K4" s="7">
        <v>219.11</v>
      </c>
      <c r="L4" s="7">
        <v>124.08</v>
      </c>
    </row>
    <row r="5" spans="1:12" ht="15.75">
      <c r="A5" s="91" t="s">
        <v>203</v>
      </c>
      <c r="C5" s="7">
        <v>2116.92</v>
      </c>
      <c r="D5" s="7">
        <v>860.25</v>
      </c>
      <c r="E5" s="7">
        <v>723.3875099999999</v>
      </c>
      <c r="F5" s="7">
        <v>828.3</v>
      </c>
      <c r="G5" s="7">
        <v>1129.69</v>
      </c>
      <c r="H5" s="7">
        <v>733.75</v>
      </c>
      <c r="I5" s="7">
        <v>1341</v>
      </c>
      <c r="J5" s="7">
        <v>224.33</v>
      </c>
      <c r="K5" s="7">
        <v>239.48</v>
      </c>
      <c r="L5" s="7">
        <v>127.21</v>
      </c>
    </row>
    <row r="6" spans="1:12" ht="15.75">
      <c r="A6" s="91" t="s">
        <v>204</v>
      </c>
      <c r="C6" s="7">
        <v>1975.23</v>
      </c>
      <c r="D6" s="7">
        <v>872.78</v>
      </c>
      <c r="E6" s="7">
        <v>238.73</v>
      </c>
      <c r="F6" s="7">
        <v>699.67</v>
      </c>
      <c r="G6" s="7">
        <v>913.73</v>
      </c>
      <c r="H6" s="7">
        <v>509.78</v>
      </c>
      <c r="I6" s="7">
        <v>1221.61</v>
      </c>
      <c r="J6" s="7">
        <v>172.43</v>
      </c>
      <c r="K6" s="7"/>
      <c r="L6" s="7">
        <v>116.27</v>
      </c>
    </row>
    <row r="7" spans="1:12" ht="15.75">
      <c r="A7" s="93" t="s">
        <v>205</v>
      </c>
      <c r="C7" s="10">
        <v>0.016</v>
      </c>
      <c r="D7" s="10">
        <v>0.013</v>
      </c>
      <c r="E7" s="10">
        <v>0.0016</v>
      </c>
      <c r="F7" s="10">
        <v>0.003</v>
      </c>
      <c r="G7" s="10">
        <v>0.017</v>
      </c>
      <c r="H7" s="10">
        <v>0.004</v>
      </c>
      <c r="I7" s="10">
        <v>0.01585</v>
      </c>
      <c r="J7" s="10">
        <v>0.014</v>
      </c>
      <c r="K7" s="7">
        <v>0.006</v>
      </c>
      <c r="L7" s="10">
        <v>0.004</v>
      </c>
    </row>
    <row r="8" spans="1:12" ht="15.75">
      <c r="A8" s="94" t="s">
        <v>206</v>
      </c>
      <c r="B8" t="s">
        <v>24</v>
      </c>
      <c r="C8" s="12">
        <v>218</v>
      </c>
      <c r="D8" s="12">
        <v>350</v>
      </c>
      <c r="E8" s="12">
        <v>330</v>
      </c>
      <c r="F8" s="12">
        <v>330</v>
      </c>
      <c r="G8" s="12">
        <v>350</v>
      </c>
      <c r="H8" s="12">
        <v>330</v>
      </c>
      <c r="I8" s="12">
        <v>235</v>
      </c>
      <c r="J8" s="12">
        <v>400</v>
      </c>
      <c r="K8" s="7">
        <v>500</v>
      </c>
      <c r="L8" s="12">
        <v>650</v>
      </c>
    </row>
    <row r="9" spans="1:12" ht="15.75">
      <c r="A9" s="94" t="s">
        <v>207</v>
      </c>
      <c r="C9" s="10">
        <v>0.6031</v>
      </c>
      <c r="D9" s="10">
        <v>0.5224</v>
      </c>
      <c r="E9" s="10">
        <v>0.4939</v>
      </c>
      <c r="F9" s="10">
        <v>0.5675</v>
      </c>
      <c r="G9" s="10">
        <v>0.5917</v>
      </c>
      <c r="H9" s="10">
        <v>0.5786</v>
      </c>
      <c r="I9" s="10">
        <v>0.6433</v>
      </c>
      <c r="J9" s="10">
        <v>0.0735</v>
      </c>
      <c r="K9" s="7"/>
      <c r="L9" s="10">
        <v>0.0334</v>
      </c>
    </row>
    <row r="10" spans="1:12" ht="15.75">
      <c r="A10" s="94" t="s">
        <v>208</v>
      </c>
      <c r="C10" s="10">
        <v>0.46990000000000004</v>
      </c>
      <c r="D10" s="10">
        <v>0.4488</v>
      </c>
      <c r="E10" s="10">
        <v>0.5078</v>
      </c>
      <c r="F10" s="10">
        <v>0.4706</v>
      </c>
      <c r="G10" s="10">
        <v>0.4692</v>
      </c>
      <c r="H10" s="10">
        <v>0.4749</v>
      </c>
      <c r="I10" s="10">
        <v>0.5243</v>
      </c>
      <c r="J10" s="10">
        <v>0.4092</v>
      </c>
      <c r="K10" s="7">
        <v>0.3358</v>
      </c>
      <c r="L10" s="10">
        <v>0.2487</v>
      </c>
    </row>
    <row r="11" spans="1:12" ht="15.75">
      <c r="A11" s="94" t="s">
        <v>209</v>
      </c>
      <c r="C11" s="10">
        <v>0.3233</v>
      </c>
      <c r="D11" s="10">
        <v>0.2876</v>
      </c>
      <c r="E11" s="10">
        <v>0.2923</v>
      </c>
      <c r="F11" s="10">
        <v>0.3274</v>
      </c>
      <c r="G11" s="10">
        <v>0.327</v>
      </c>
      <c r="H11" s="10">
        <v>0.332</v>
      </c>
      <c r="I11" s="10">
        <v>0.3696</v>
      </c>
      <c r="J11" s="10">
        <v>0.0459</v>
      </c>
      <c r="K11" s="7"/>
      <c r="L11" s="10">
        <v>0.0209</v>
      </c>
    </row>
    <row r="12" spans="1:12" ht="15.75">
      <c r="A12" s="94" t="s">
        <v>210</v>
      </c>
      <c r="C12" s="10">
        <v>0.6912</v>
      </c>
      <c r="D12" s="10">
        <v>0.646</v>
      </c>
      <c r="E12" s="10">
        <v>0.6591</v>
      </c>
      <c r="F12" s="10">
        <v>0.6837</v>
      </c>
      <c r="G12" s="10">
        <v>0.6989</v>
      </c>
      <c r="H12" s="10">
        <v>0.6874</v>
      </c>
      <c r="I12" s="10">
        <v>0.7523</v>
      </c>
      <c r="J12" s="10">
        <v>0.3966</v>
      </c>
      <c r="K12" s="7"/>
      <c r="L12" s="10">
        <v>0.0867</v>
      </c>
    </row>
    <row r="13" spans="1:12" ht="15.75">
      <c r="A13" s="94" t="s">
        <v>211</v>
      </c>
      <c r="C13" s="10">
        <v>0.5898</v>
      </c>
      <c r="D13" s="10">
        <v>0.6116</v>
      </c>
      <c r="E13" s="10">
        <v>0.327</v>
      </c>
      <c r="F13" s="10">
        <v>0.5528</v>
      </c>
      <c r="G13" s="10">
        <v>0.609</v>
      </c>
      <c r="H13" s="10">
        <v>0.631</v>
      </c>
      <c r="I13" s="10">
        <v>0.6707</v>
      </c>
      <c r="J13" s="10">
        <v>0.2283</v>
      </c>
      <c r="K13" s="7">
        <v>0.1691</v>
      </c>
      <c r="L13" s="10">
        <v>0.0453</v>
      </c>
    </row>
    <row r="14" spans="1:12" ht="15.75">
      <c r="A14" s="94" t="s">
        <v>212</v>
      </c>
      <c r="B14" t="s">
        <v>31</v>
      </c>
      <c r="C14" s="7">
        <v>-2.5917669999999996E-10</v>
      </c>
      <c r="D14" s="7">
        <v>-1.275845E-10</v>
      </c>
      <c r="E14" s="7">
        <v>-5.79706E-11</v>
      </c>
      <c r="F14" s="7">
        <v>-1.277879E-10</v>
      </c>
      <c r="G14" s="7">
        <v>-1.699915E-10</v>
      </c>
      <c r="H14" s="7">
        <v>-1.140836E-10</v>
      </c>
      <c r="I14" s="7">
        <v>-2.429248E-10</v>
      </c>
      <c r="J14" s="7">
        <v>-5.3302E-12</v>
      </c>
      <c r="K14" s="7"/>
      <c r="L14" s="7">
        <v>-2.2575E-12</v>
      </c>
    </row>
    <row r="15" spans="1:12" ht="15.75">
      <c r="A15" s="94" t="s">
        <v>213</v>
      </c>
      <c r="B15" t="s">
        <v>31</v>
      </c>
      <c r="C15" s="7">
        <v>6.4E-10</v>
      </c>
      <c r="D15" s="7">
        <v>3.28E-10</v>
      </c>
      <c r="E15" s="7">
        <v>1.493E-10</v>
      </c>
      <c r="F15" s="7">
        <v>3.28E-10</v>
      </c>
      <c r="G15" s="7">
        <v>4.25E-10</v>
      </c>
      <c r="H15" s="7">
        <v>2.75E-10</v>
      </c>
      <c r="I15" s="7">
        <v>5.74E-10</v>
      </c>
      <c r="J15" s="7">
        <v>4.6E-11</v>
      </c>
      <c r="K15" s="7">
        <v>8.3E-11</v>
      </c>
      <c r="L15" s="7">
        <v>1.91E-11</v>
      </c>
    </row>
    <row r="16" spans="1:12" ht="15.75">
      <c r="A16" s="94" t="s">
        <v>214</v>
      </c>
      <c r="B16" t="s">
        <v>31</v>
      </c>
      <c r="C16" s="7">
        <v>6.159357E-10</v>
      </c>
      <c r="D16" s="7">
        <v>4.211008E-10</v>
      </c>
      <c r="E16" s="7">
        <v>1.505547E-10</v>
      </c>
      <c r="F16" s="7">
        <v>3.271874E-10</v>
      </c>
      <c r="G16" s="7">
        <v>5.059634E-10</v>
      </c>
      <c r="H16" s="7">
        <v>4.025568E-10</v>
      </c>
      <c r="I16" s="7">
        <v>7.24E-10</v>
      </c>
      <c r="J16" s="7">
        <v>4.33182E-11</v>
      </c>
      <c r="K16" s="7">
        <v>5.38506E-11</v>
      </c>
      <c r="L16" s="7">
        <v>7.7882E-12</v>
      </c>
    </row>
    <row r="17" spans="1:12" ht="15.75">
      <c r="A17" s="94" t="s">
        <v>215</v>
      </c>
      <c r="B17" t="s">
        <v>31</v>
      </c>
      <c r="C17" s="7">
        <v>1.2164660000000004E-10</v>
      </c>
      <c r="D17" s="7">
        <v>7.2831E-11</v>
      </c>
      <c r="E17" s="7">
        <v>3.3358799999999994E-11</v>
      </c>
      <c r="F17" s="7">
        <v>7.242419999999999E-11</v>
      </c>
      <c r="G17" s="7">
        <v>8.501699999999996E-11</v>
      </c>
      <c r="H17" s="7">
        <v>4.683279999999997E-11</v>
      </c>
      <c r="I17" s="7">
        <v>8.815039999999997E-11</v>
      </c>
      <c r="J17" s="7">
        <v>3.5339600000000006E-11</v>
      </c>
      <c r="K17" s="7"/>
      <c r="L17" s="7">
        <v>1.4585E-11</v>
      </c>
    </row>
    <row r="18" spans="1:12" ht="15.75">
      <c r="A18" s="94" t="s">
        <v>216</v>
      </c>
      <c r="B18" t="s">
        <v>36</v>
      </c>
      <c r="C18" s="13">
        <v>-0.0073563</v>
      </c>
      <c r="D18" s="13">
        <v>-0.0095988</v>
      </c>
      <c r="E18" s="13">
        <v>-0.0154089</v>
      </c>
      <c r="F18" s="13">
        <v>-0.0109024</v>
      </c>
      <c r="G18" s="13">
        <v>-0.0106645</v>
      </c>
      <c r="H18" s="13">
        <v>-0.0130393</v>
      </c>
      <c r="I18" s="13">
        <v>-0.009559</v>
      </c>
      <c r="J18" s="13">
        <v>-0.0028951</v>
      </c>
      <c r="K18" s="7"/>
      <c r="L18" s="13">
        <v>-0.0020577</v>
      </c>
    </row>
    <row r="19" spans="1:12" ht="15.75">
      <c r="A19" s="94" t="s">
        <v>217</v>
      </c>
      <c r="B19" t="s">
        <v>36</v>
      </c>
      <c r="C19" s="13">
        <v>0.0156109</v>
      </c>
      <c r="D19" s="13">
        <v>0.0246769</v>
      </c>
      <c r="E19" s="13">
        <v>0.0396846</v>
      </c>
      <c r="F19" s="13">
        <v>0.0279837</v>
      </c>
      <c r="G19" s="13">
        <v>0.0266625</v>
      </c>
      <c r="H19" s="13">
        <v>0.0314313</v>
      </c>
      <c r="I19" s="13">
        <v>0.0225867</v>
      </c>
      <c r="J19" s="13">
        <v>0.0249855</v>
      </c>
      <c r="K19" s="7">
        <v>0.0428428</v>
      </c>
      <c r="L19" s="13">
        <v>0.0174098</v>
      </c>
    </row>
    <row r="20" spans="1:12" ht="15.75">
      <c r="A20" s="94" t="s">
        <v>218</v>
      </c>
      <c r="B20" t="s">
        <v>36</v>
      </c>
      <c r="C20" s="13">
        <v>0.026799</v>
      </c>
      <c r="D20" s="13">
        <v>0.0342757</v>
      </c>
      <c r="E20" s="13">
        <v>0.0550935</v>
      </c>
      <c r="F20" s="13">
        <v>0.038886</v>
      </c>
      <c r="G20" s="13">
        <v>0.0373269</v>
      </c>
      <c r="H20" s="13">
        <v>0.03727598655646578</v>
      </c>
      <c r="I20" s="13">
        <v>0.0321458</v>
      </c>
      <c r="J20" s="13">
        <v>0.0278807</v>
      </c>
      <c r="K20" s="7"/>
      <c r="L20" s="13">
        <v>0.0194676</v>
      </c>
    </row>
    <row r="21" spans="1:12" ht="15.75">
      <c r="A21" s="94" t="s">
        <v>219</v>
      </c>
      <c r="B21" t="s">
        <v>95</v>
      </c>
      <c r="C21" s="14">
        <v>-2.9178923417222222</v>
      </c>
      <c r="D21" s="14">
        <v>-1.9349457902113514</v>
      </c>
      <c r="E21" s="14">
        <v>-1.4535824882079176</v>
      </c>
      <c r="F21" s="14">
        <v>-2.801191907906613</v>
      </c>
      <c r="G21" s="14">
        <v>-3.0874407739346665</v>
      </c>
      <c r="H21" s="14">
        <v>-3.604773759605621</v>
      </c>
      <c r="I21" s="14">
        <v>-5.061203122824622</v>
      </c>
      <c r="J21" s="14">
        <v>-0.3471495088450045</v>
      </c>
      <c r="K21" s="7"/>
      <c r="L21" s="14">
        <v>1.605829130073218</v>
      </c>
    </row>
    <row r="22" spans="1:12" ht="15.75">
      <c r="A22" s="94" t="s">
        <v>220</v>
      </c>
      <c r="B22" t="s">
        <v>95</v>
      </c>
      <c r="C22" s="15">
        <v>23.4159</v>
      </c>
      <c r="D22" s="15">
        <v>15.4906</v>
      </c>
      <c r="E22" s="15">
        <v>9.9315</v>
      </c>
      <c r="F22" s="15">
        <v>14.6914</v>
      </c>
      <c r="G22" s="15">
        <v>16.0264</v>
      </c>
      <c r="H22" s="15">
        <v>12.4339</v>
      </c>
      <c r="I22" s="15">
        <v>21.1723</v>
      </c>
      <c r="J22" s="15">
        <v>6.5221</v>
      </c>
      <c r="K22" s="7"/>
      <c r="L22" s="15">
        <v>2.6484</v>
      </c>
    </row>
    <row r="23" spans="1:12" ht="15.75">
      <c r="A23" s="94" t="s">
        <v>221</v>
      </c>
      <c r="B23" t="s">
        <v>95</v>
      </c>
      <c r="C23" s="14">
        <v>16.1935</v>
      </c>
      <c r="D23" s="14">
        <v>10.805</v>
      </c>
      <c r="E23" s="14">
        <v>6.5539</v>
      </c>
      <c r="F23" s="14">
        <v>9.8568</v>
      </c>
      <c r="G23" s="14">
        <v>11.6439</v>
      </c>
      <c r="H23" s="14">
        <v>10.6735</v>
      </c>
      <c r="I23" s="14">
        <v>13.4</v>
      </c>
      <c r="J23" s="14">
        <v>2.517</v>
      </c>
      <c r="K23" s="7">
        <v>1.1566</v>
      </c>
      <c r="L23" s="14">
        <v>0.2971</v>
      </c>
    </row>
    <row r="24" spans="1:12" ht="15.75">
      <c r="A24" s="94" t="s">
        <v>222</v>
      </c>
      <c r="B24" t="s">
        <v>43</v>
      </c>
      <c r="C24" s="7">
        <v>-166841095.76152182</v>
      </c>
      <c r="D24" s="7">
        <v>-250389122.95786032</v>
      </c>
      <c r="E24" s="7">
        <v>-687676410.0359249</v>
      </c>
      <c r="F24" s="7">
        <v>-452169279.1460823</v>
      </c>
      <c r="G24" s="7">
        <v>-381620937.090966</v>
      </c>
      <c r="H24" s="7">
        <v>-798631916.7397873</v>
      </c>
      <c r="I24" s="7">
        <v>-467921101.37946457</v>
      </c>
      <c r="J24" s="7">
        <v>-227381522.11018774</v>
      </c>
      <c r="K24" s="7"/>
      <c r="L24" s="7">
        <v>1559850950.11378</v>
      </c>
    </row>
    <row r="25" spans="1:12" ht="15.75">
      <c r="A25" s="94" t="s">
        <v>223</v>
      </c>
      <c r="B25" t="s">
        <v>43</v>
      </c>
      <c r="C25" s="7">
        <v>1340740000</v>
      </c>
      <c r="D25" s="7">
        <v>2007310000</v>
      </c>
      <c r="E25" s="7">
        <v>4704940000</v>
      </c>
      <c r="F25" s="7">
        <v>2374760000</v>
      </c>
      <c r="G25" s="7">
        <v>1983670000</v>
      </c>
      <c r="H25" s="7">
        <v>2758540000</v>
      </c>
      <c r="I25" s="7">
        <v>1960150000</v>
      </c>
      <c r="J25" s="7">
        <v>4277980000</v>
      </c>
      <c r="K25" s="7"/>
      <c r="L25" s="7">
        <v>2576100000</v>
      </c>
    </row>
    <row r="26" spans="1:12" ht="15.75">
      <c r="A26" s="94" t="s">
        <v>224</v>
      </c>
      <c r="B26" t="s">
        <v>43</v>
      </c>
      <c r="C26" s="7">
        <v>863948235.5732906</v>
      </c>
      <c r="D26" s="7">
        <v>1418572486.4256089</v>
      </c>
      <c r="E26" s="7">
        <v>1023246451.0385925</v>
      </c>
      <c r="F26" s="7">
        <v>1344001413.9711683</v>
      </c>
      <c r="G26" s="7">
        <v>1164100899.9805558</v>
      </c>
      <c r="H26" s="7">
        <v>1642896417.4710941</v>
      </c>
      <c r="I26" s="7">
        <v>1128567301.049846</v>
      </c>
      <c r="J26" s="7">
        <v>1267206236.5250957</v>
      </c>
      <c r="K26" s="7">
        <v>545463105.7180768</v>
      </c>
      <c r="L26" s="7">
        <v>263774520.11734045</v>
      </c>
    </row>
    <row r="27" spans="1:12" ht="15.75">
      <c r="A27" s="94" t="s">
        <v>225</v>
      </c>
      <c r="B27" t="s">
        <v>47</v>
      </c>
      <c r="C27" s="16">
        <v>1985</v>
      </c>
      <c r="D27" s="16">
        <v>2159.61</v>
      </c>
      <c r="E27" s="16">
        <v>2413.53</v>
      </c>
      <c r="F27" s="16">
        <v>2209.94</v>
      </c>
      <c r="G27" s="16">
        <v>2011.08</v>
      </c>
      <c r="H27" s="16">
        <v>2187.56</v>
      </c>
      <c r="I27" s="16">
        <v>1970.47</v>
      </c>
      <c r="J27" s="16">
        <v>2771.62</v>
      </c>
      <c r="K27" s="7"/>
      <c r="L27" s="16">
        <v>2468.17</v>
      </c>
    </row>
    <row r="28" spans="1:12" ht="15.75">
      <c r="A28" s="94" t="s">
        <v>226</v>
      </c>
      <c r="B28" t="s">
        <v>47</v>
      </c>
      <c r="C28" s="16">
        <v>1928</v>
      </c>
      <c r="D28" s="12">
        <v>2039.29</v>
      </c>
      <c r="E28" s="12">
        <v>2145.79</v>
      </c>
      <c r="F28" s="12">
        <v>2038.09</v>
      </c>
      <c r="G28" s="12">
        <v>1952.94</v>
      </c>
      <c r="H28" s="12">
        <v>1998</v>
      </c>
      <c r="I28" s="12">
        <v>1966.2</v>
      </c>
      <c r="J28" s="12">
        <v>2178.08</v>
      </c>
      <c r="K28" s="7">
        <v>1452.45</v>
      </c>
      <c r="L28" s="12">
        <v>2001.86</v>
      </c>
    </row>
    <row r="29" spans="1:12" ht="15.75">
      <c r="A29" s="94" t="s">
        <v>227</v>
      </c>
      <c r="B29" t="s">
        <v>47</v>
      </c>
      <c r="C29" s="16">
        <v>1375</v>
      </c>
      <c r="D29" s="16">
        <v>1480</v>
      </c>
      <c r="E29" s="16">
        <v>1670</v>
      </c>
      <c r="F29" s="16">
        <v>1500</v>
      </c>
      <c r="G29" s="16">
        <v>1400</v>
      </c>
      <c r="H29" s="16">
        <v>1624</v>
      </c>
      <c r="I29" s="16">
        <v>1410</v>
      </c>
      <c r="J29" s="12">
        <v>2057.0845</v>
      </c>
      <c r="K29" s="7"/>
      <c r="L29" s="12">
        <v>1904.7323500000002</v>
      </c>
    </row>
    <row r="30" spans="1:12" ht="15.75">
      <c r="A30" s="94" t="s">
        <v>228</v>
      </c>
      <c r="B30" t="s">
        <v>47</v>
      </c>
      <c r="C30" s="16">
        <v>1328</v>
      </c>
      <c r="D30" s="16">
        <v>1600</v>
      </c>
      <c r="E30" s="16">
        <v>1600</v>
      </c>
      <c r="F30" s="16">
        <v>1800</v>
      </c>
      <c r="G30" s="16">
        <v>1500</v>
      </c>
      <c r="H30" s="16">
        <v>1500</v>
      </c>
      <c r="I30" s="16">
        <v>1500</v>
      </c>
      <c r="J30" s="16"/>
      <c r="K30" s="7"/>
      <c r="L30" s="16"/>
    </row>
    <row r="31" spans="1:12" ht="15.75">
      <c r="A31" s="94" t="s">
        <v>229</v>
      </c>
      <c r="B31" t="s">
        <v>47</v>
      </c>
      <c r="C31" s="16">
        <v>949.1</v>
      </c>
      <c r="D31" s="16">
        <v>946.1</v>
      </c>
      <c r="E31" s="16">
        <v>1201</v>
      </c>
      <c r="F31" s="16">
        <v>1018.37</v>
      </c>
      <c r="G31" s="16">
        <v>895.72</v>
      </c>
      <c r="H31" s="16">
        <v>964</v>
      </c>
      <c r="I31" s="16">
        <v>822</v>
      </c>
      <c r="J31" s="16">
        <v>1393.97</v>
      </c>
      <c r="K31" s="7">
        <v>971.52</v>
      </c>
      <c r="L31" s="16">
        <v>1206.95</v>
      </c>
    </row>
    <row r="32" spans="1:12" ht="15.75">
      <c r="A32" s="94" t="s">
        <v>230</v>
      </c>
      <c r="C32" s="12">
        <v>65.38</v>
      </c>
      <c r="D32" s="12">
        <v>104.35</v>
      </c>
      <c r="E32" s="12">
        <v>1661.5</v>
      </c>
      <c r="F32" s="12">
        <v>776.14</v>
      </c>
      <c r="G32" s="12">
        <v>88.92</v>
      </c>
      <c r="H32" s="12">
        <v>971.29</v>
      </c>
      <c r="I32" s="12">
        <v>76.4</v>
      </c>
      <c r="J32" s="12">
        <v>699.3</v>
      </c>
      <c r="K32" s="7"/>
      <c r="L32" s="12">
        <v>1725.34</v>
      </c>
    </row>
    <row r="33" spans="1:12" ht="15.75">
      <c r="A33" s="94" t="s">
        <v>231</v>
      </c>
      <c r="C33" s="12">
        <v>58.61</v>
      </c>
      <c r="D33" s="12">
        <v>68.85</v>
      </c>
      <c r="E33" s="12">
        <v>3604.375</v>
      </c>
      <c r="F33" s="12">
        <v>372.71</v>
      </c>
      <c r="G33" s="12">
        <v>73.78</v>
      </c>
      <c r="H33" s="12">
        <v>1088.43</v>
      </c>
      <c r="I33" s="12">
        <v>195.35</v>
      </c>
      <c r="J33" s="12">
        <v>313.96</v>
      </c>
      <c r="K33" s="7">
        <v>16.99</v>
      </c>
      <c r="L33" s="12">
        <v>465.41</v>
      </c>
    </row>
    <row r="34" spans="1:12" ht="14.25">
      <c r="A34" s="91" t="s">
        <v>54</v>
      </c>
      <c r="B34" t="s">
        <v>96</v>
      </c>
      <c r="C34" s="16">
        <v>7780</v>
      </c>
      <c r="D34" s="16">
        <v>7700</v>
      </c>
      <c r="E34" s="16">
        <v>7700</v>
      </c>
      <c r="F34" s="16">
        <v>7700</v>
      </c>
      <c r="G34" s="16">
        <v>7700</v>
      </c>
      <c r="H34" s="16">
        <v>7700</v>
      </c>
      <c r="I34" s="16">
        <v>7460</v>
      </c>
      <c r="J34" s="16">
        <v>7550</v>
      </c>
      <c r="K34" s="7">
        <v>5720</v>
      </c>
      <c r="L34" s="16">
        <v>6530</v>
      </c>
    </row>
    <row r="35" spans="1:12" ht="14.25">
      <c r="A35" s="91" t="s">
        <v>232</v>
      </c>
      <c r="C35" s="10">
        <v>0.4254</v>
      </c>
      <c r="D35" s="10">
        <v>0.3941</v>
      </c>
      <c r="E35" s="10">
        <v>0.2995</v>
      </c>
      <c r="F35" s="10">
        <v>0.3344</v>
      </c>
      <c r="G35" s="10">
        <v>0.3892</v>
      </c>
      <c r="H35" s="10">
        <v>0.2946</v>
      </c>
      <c r="I35" s="10">
        <v>0.3398</v>
      </c>
      <c r="J35" s="10">
        <v>0.2201</v>
      </c>
      <c r="K35" s="7"/>
      <c r="L35" s="10">
        <v>0.2148</v>
      </c>
    </row>
    <row r="36" spans="1:12" ht="15.75">
      <c r="A36" s="94" t="s">
        <v>233</v>
      </c>
      <c r="B36" t="s">
        <v>97</v>
      </c>
      <c r="C36" s="7">
        <v>1.82434E-11</v>
      </c>
      <c r="D36" s="7">
        <v>1.48103E-11</v>
      </c>
      <c r="E36" s="7">
        <v>1.04549E-11</v>
      </c>
      <c r="F36" s="7">
        <v>1.29991E-11</v>
      </c>
      <c r="G36" s="7">
        <v>1.69555E-11</v>
      </c>
      <c r="H36" s="7">
        <v>1.25977E-11</v>
      </c>
      <c r="I36" s="7">
        <v>1.70006E-11</v>
      </c>
      <c r="J36" s="7">
        <v>7.3272E-12</v>
      </c>
      <c r="K36" s="7"/>
      <c r="L36" s="7">
        <v>1.06189E-11</v>
      </c>
    </row>
    <row r="37" spans="1:12" ht="15.75">
      <c r="A37" s="94" t="s">
        <v>234</v>
      </c>
      <c r="B37" t="s">
        <v>97</v>
      </c>
      <c r="C37" s="7">
        <v>-7.761499999999999E-12</v>
      </c>
      <c r="D37" s="7">
        <v>-5.8365E-12</v>
      </c>
      <c r="E37" s="7">
        <v>-3.1316E-12</v>
      </c>
      <c r="F37" s="7">
        <v>-4.3469E-12</v>
      </c>
      <c r="G37" s="7">
        <v>-6.5991E-12</v>
      </c>
      <c r="H37" s="7">
        <v>-3.7109E-12</v>
      </c>
      <c r="I37" s="7">
        <v>-5.7774E-12</v>
      </c>
      <c r="J37" s="7">
        <v>-1.613E-12</v>
      </c>
      <c r="K37" s="7"/>
      <c r="L37" s="7">
        <v>-2.2804E-12</v>
      </c>
    </row>
    <row r="38" spans="1:12" ht="15.75">
      <c r="A38" s="94" t="s">
        <v>235</v>
      </c>
      <c r="B38" t="s">
        <v>97</v>
      </c>
      <c r="C38" s="7">
        <v>-6.8471E-12</v>
      </c>
      <c r="D38" s="7">
        <v>-7.1153000000000006E-12</v>
      </c>
      <c r="E38" s="7">
        <v>-4.7652E-12</v>
      </c>
      <c r="F38" s="7">
        <v>-7.0485E-12</v>
      </c>
      <c r="G38" s="7">
        <v>-8.6119E-12</v>
      </c>
      <c r="H38" s="7">
        <v>-6.5988E-12</v>
      </c>
      <c r="I38" s="7">
        <v>-8.7909E-12</v>
      </c>
      <c r="J38" s="7">
        <v>-5.359E-13</v>
      </c>
      <c r="K38" s="7"/>
      <c r="L38" s="7">
        <v>-1.20047E-11</v>
      </c>
    </row>
    <row r="39" spans="1:12" ht="15.75">
      <c r="A39" s="94" t="s">
        <v>236</v>
      </c>
      <c r="B39" t="s">
        <v>97</v>
      </c>
      <c r="C39" s="7">
        <v>1.79733E-11</v>
      </c>
      <c r="D39" s="7">
        <v>1.9396499999999998E-11</v>
      </c>
      <c r="E39" s="7">
        <v>1.36381E-11</v>
      </c>
      <c r="F39" s="7">
        <v>1.96383E-11</v>
      </c>
      <c r="G39" s="7">
        <v>2.32008E-11</v>
      </c>
      <c r="H39" s="7">
        <v>1.82908E-11</v>
      </c>
      <c r="I39" s="7">
        <v>2.29082E-11</v>
      </c>
      <c r="J39" s="7">
        <v>7.3067E-12</v>
      </c>
      <c r="K39" s="7"/>
      <c r="L39" s="7">
        <v>4.42321E-11</v>
      </c>
    </row>
    <row r="40" spans="1:12" ht="15.75">
      <c r="A40" s="94" t="s">
        <v>237</v>
      </c>
      <c r="B40" t="s">
        <v>97</v>
      </c>
      <c r="C40" s="7">
        <v>3.8035829751626034E-11</v>
      </c>
      <c r="D40" s="7">
        <v>3.8972680151214E-11</v>
      </c>
      <c r="E40" s="7">
        <v>2.297160709363227E-11</v>
      </c>
      <c r="F40" s="7">
        <v>3.319391887406227E-11</v>
      </c>
      <c r="G40" s="7">
        <v>4.345370008256203E-11</v>
      </c>
      <c r="H40" s="7">
        <v>3.7715923662970506E-11</v>
      </c>
      <c r="I40" s="7">
        <v>5.4054054054054054E-11</v>
      </c>
      <c r="J40" s="7">
        <v>1.720992668571232E-11</v>
      </c>
      <c r="K40" s="7"/>
      <c r="L40" s="7">
        <v>2.621163272260229E-11</v>
      </c>
    </row>
    <row r="41" spans="1:12" ht="15.75">
      <c r="A41" s="94" t="s">
        <v>238</v>
      </c>
      <c r="B41" t="s">
        <v>97</v>
      </c>
      <c r="C41" s="7">
        <v>5.20098E-11</v>
      </c>
      <c r="D41" s="7">
        <v>4.12937E-11</v>
      </c>
      <c r="E41" s="7">
        <v>2.7173E-11</v>
      </c>
      <c r="F41" s="7">
        <v>3.46919E-11</v>
      </c>
      <c r="G41" s="7">
        <v>4.71092E-11</v>
      </c>
      <c r="H41" s="7">
        <v>3.26172E-11</v>
      </c>
      <c r="I41" s="7">
        <v>4.5556E-11</v>
      </c>
      <c r="J41" s="7">
        <v>1.78805E-11</v>
      </c>
      <c r="K41" s="7"/>
      <c r="L41" s="7">
        <v>2.57986E-11</v>
      </c>
    </row>
    <row r="42" spans="1:12" ht="15.75">
      <c r="A42" s="94" t="s">
        <v>239</v>
      </c>
      <c r="B42" t="s">
        <v>97</v>
      </c>
      <c r="C42" s="7">
        <v>1.63368E-11</v>
      </c>
      <c r="D42" s="7">
        <v>1.35857E-11</v>
      </c>
      <c r="E42" s="7">
        <v>9.5617E-12</v>
      </c>
      <c r="F42" s="7">
        <v>1.16059E-11</v>
      </c>
      <c r="G42" s="7">
        <v>1.51426E-11</v>
      </c>
      <c r="H42" s="7">
        <v>1.11102E-11</v>
      </c>
      <c r="I42" s="7">
        <v>1.46785E-11</v>
      </c>
      <c r="J42" s="7">
        <v>7.3118E-12</v>
      </c>
      <c r="K42" s="7"/>
      <c r="L42" s="7">
        <v>1.06142E-11</v>
      </c>
    </row>
    <row r="43" spans="1:12" ht="15.75">
      <c r="A43" s="94" t="s">
        <v>240</v>
      </c>
      <c r="B43" t="s">
        <v>97</v>
      </c>
      <c r="C43" s="7">
        <v>-9.6681E-12</v>
      </c>
      <c r="D43" s="7">
        <v>-7.0612E-12</v>
      </c>
      <c r="E43" s="7">
        <v>-4.0248E-12</v>
      </c>
      <c r="F43" s="7">
        <v>-5.7401E-12</v>
      </c>
      <c r="G43" s="7">
        <v>-8.4119E-12</v>
      </c>
      <c r="H43" s="7">
        <v>-5.1985E-12</v>
      </c>
      <c r="I43" s="7">
        <v>-8.0995E-12</v>
      </c>
      <c r="J43" s="7">
        <v>-1.6285E-12</v>
      </c>
      <c r="K43" s="7"/>
      <c r="L43" s="7">
        <v>-2.2851E-12</v>
      </c>
    </row>
    <row r="44" spans="1:12" ht="15.75">
      <c r="A44" s="94" t="s">
        <v>241</v>
      </c>
      <c r="B44" t="s">
        <v>97</v>
      </c>
      <c r="C44" s="7">
        <v>-2.8011E-12</v>
      </c>
      <c r="D44" s="7">
        <v>-3.9669E-12</v>
      </c>
      <c r="E44" s="7">
        <v>-2.4647E-12</v>
      </c>
      <c r="F44" s="7">
        <v>-3.4726E-12</v>
      </c>
      <c r="G44" s="7">
        <v>-4.0795E-12</v>
      </c>
      <c r="H44" s="7">
        <v>-3.013E-12</v>
      </c>
      <c r="I44" s="7">
        <v>-3.304E-12</v>
      </c>
      <c r="J44" s="7">
        <v>-4.027E-13</v>
      </c>
      <c r="K44" s="7"/>
      <c r="L44" s="7">
        <v>-1.19654E-11</v>
      </c>
    </row>
    <row r="45" spans="1:12" ht="15.75">
      <c r="A45" s="94" t="s">
        <v>242</v>
      </c>
      <c r="B45" t="s">
        <v>97</v>
      </c>
      <c r="C45" s="7">
        <v>9.3873E-12</v>
      </c>
      <c r="D45" s="7">
        <v>1.13025E-11</v>
      </c>
      <c r="E45" s="7">
        <v>7.7132E-12</v>
      </c>
      <c r="F45" s="7">
        <v>1.04596E-11</v>
      </c>
      <c r="G45" s="7">
        <v>1.18692E-11</v>
      </c>
      <c r="H45" s="7">
        <v>9.6472E-12</v>
      </c>
      <c r="I45" s="7">
        <v>9.9434E-12</v>
      </c>
      <c r="J45" s="7">
        <v>6.1574E-12</v>
      </c>
      <c r="K45" s="7"/>
      <c r="L45" s="7">
        <v>4.38996E-11</v>
      </c>
    </row>
    <row r="46" spans="1:12" ht="15.75">
      <c r="A46" s="94" t="s">
        <v>243</v>
      </c>
      <c r="B46" t="s">
        <v>97</v>
      </c>
      <c r="C46" s="7">
        <v>2.4805893880385978E-11</v>
      </c>
      <c r="D46" s="7">
        <v>2.4393218685205512E-11</v>
      </c>
      <c r="E46" s="7">
        <v>2.051576636645262E-11</v>
      </c>
      <c r="F46" s="7">
        <v>2.3050503653504828E-11</v>
      </c>
      <c r="G46" s="7">
        <v>2.7339584985099927E-11</v>
      </c>
      <c r="H46" s="7">
        <v>2.2697868670131875E-11</v>
      </c>
      <c r="I46" s="7">
        <v>2.976190476190476E-11</v>
      </c>
      <c r="J46" s="7">
        <v>1.631347982838219E-11</v>
      </c>
      <c r="K46" s="7"/>
      <c r="L46" s="7">
        <v>2.6157467957101753E-11</v>
      </c>
    </row>
    <row r="47" spans="1:12" ht="15.75">
      <c r="A47" s="94" t="s">
        <v>244</v>
      </c>
      <c r="B47" t="s">
        <v>98</v>
      </c>
      <c r="C47" s="7">
        <v>114194557651.38478</v>
      </c>
      <c r="D47" s="7">
        <v>157424806699.46066</v>
      </c>
      <c r="E47" s="7">
        <v>162009558280.79272</v>
      </c>
      <c r="F47" s="7">
        <v>168001562945.76093</v>
      </c>
      <c r="G47" s="7">
        <v>147391094711.82275</v>
      </c>
      <c r="H47" s="7">
        <v>151856642515.28326</v>
      </c>
      <c r="I47" s="7">
        <v>133650956615.21121</v>
      </c>
      <c r="J47" s="7">
        <v>144649011222.09827</v>
      </c>
      <c r="K47" s="7"/>
      <c r="L47" s="7">
        <v>313141803798.5101</v>
      </c>
    </row>
    <row r="48" spans="1:12" ht="15.75">
      <c r="A48" s="94" t="s">
        <v>245</v>
      </c>
      <c r="B48" t="s">
        <v>98</v>
      </c>
      <c r="C48" s="7">
        <v>75740266344.74641</v>
      </c>
      <c r="D48" s="7">
        <v>108991151120.8722</v>
      </c>
      <c r="E48" s="7">
        <v>88407085237.69847</v>
      </c>
      <c r="F48" s="7">
        <v>110351384230.20692</v>
      </c>
      <c r="G48" s="7">
        <v>104936542310.16872</v>
      </c>
      <c r="H48" s="7">
        <v>90539300744.68367</v>
      </c>
      <c r="I48" s="7">
        <v>89748945903.12059</v>
      </c>
      <c r="J48" s="7">
        <v>32794690289.680622</v>
      </c>
      <c r="K48" s="7"/>
      <c r="L48" s="7">
        <v>235618217247.30194</v>
      </c>
    </row>
    <row r="49" spans="1:12" ht="15.75">
      <c r="A49" s="94" t="s">
        <v>246</v>
      </c>
      <c r="B49" t="s">
        <v>98</v>
      </c>
      <c r="C49" s="7">
        <v>72357482119.80605</v>
      </c>
      <c r="D49" s="7">
        <v>97730490793.6491</v>
      </c>
      <c r="E49" s="7">
        <v>87496454029.10335</v>
      </c>
      <c r="F49" s="7">
        <v>99905325215.00381</v>
      </c>
      <c r="G49" s="7">
        <v>93661441729.15106</v>
      </c>
      <c r="H49" s="7">
        <v>87449556628.68053</v>
      </c>
      <c r="I49" s="7">
        <v>85728525290.0011</v>
      </c>
      <c r="J49" s="7">
        <v>13014367585.936508</v>
      </c>
      <c r="K49" s="7"/>
      <c r="L49" s="7">
        <v>148934810344.7193</v>
      </c>
    </row>
    <row r="50" spans="1:12" ht="15.75">
      <c r="A50" s="94" t="s">
        <v>247</v>
      </c>
      <c r="B50" t="s">
        <v>98</v>
      </c>
      <c r="C50" s="7">
        <v>110769000000</v>
      </c>
      <c r="D50" s="7">
        <v>123257470280.10738</v>
      </c>
      <c r="E50" s="7">
        <v>134466000000</v>
      </c>
      <c r="F50" s="7">
        <v>122636143126.23335</v>
      </c>
      <c r="G50" s="7">
        <v>112634000000</v>
      </c>
      <c r="H50" s="7">
        <v>117769000000</v>
      </c>
      <c r="I50" s="7">
        <v>109448223166.54044</v>
      </c>
      <c r="J50" s="7">
        <v>138769731777.4928</v>
      </c>
      <c r="K50" s="7">
        <v>47244000000</v>
      </c>
      <c r="L50" s="7">
        <v>103450558202.99065</v>
      </c>
    </row>
    <row r="51" spans="1:12" ht="15.75">
      <c r="A51" s="94" t="s">
        <v>248</v>
      </c>
      <c r="B51" t="s">
        <v>98</v>
      </c>
      <c r="C51" s="7">
        <v>26291000000</v>
      </c>
      <c r="D51" s="7">
        <v>25659000000</v>
      </c>
      <c r="E51" s="7">
        <v>43532000000</v>
      </c>
      <c r="F51" s="7">
        <v>30126000000</v>
      </c>
      <c r="G51" s="7">
        <v>23013000000</v>
      </c>
      <c r="H51" s="7">
        <v>26514000000</v>
      </c>
      <c r="I51" s="7">
        <v>18500000000</v>
      </c>
      <c r="J51" s="7">
        <v>58106000000</v>
      </c>
      <c r="K51" s="7">
        <v>21479000000</v>
      </c>
      <c r="L51" s="7">
        <v>38151000000</v>
      </c>
    </row>
    <row r="52" spans="1:12" ht="15.75">
      <c r="A52" s="94" t="s">
        <v>249</v>
      </c>
      <c r="B52" t="s">
        <v>98</v>
      </c>
      <c r="C52" s="7">
        <v>19227145653.319183</v>
      </c>
      <c r="D52" s="7">
        <v>24216827789.294235</v>
      </c>
      <c r="E52" s="7">
        <v>36801236521.54713</v>
      </c>
      <c r="F52" s="7">
        <v>28825089357.777</v>
      </c>
      <c r="G52" s="7">
        <v>21227276200.82702</v>
      </c>
      <c r="H52" s="7">
        <v>30658670885.299797</v>
      </c>
      <c r="I52" s="7">
        <v>21951005356.04531</v>
      </c>
      <c r="J52" s="7">
        <v>55927160466.208824</v>
      </c>
      <c r="K52" s="7"/>
      <c r="L52" s="7">
        <v>38761793275.604065</v>
      </c>
    </row>
    <row r="53" spans="1:12" ht="15.75">
      <c r="A53" s="94" t="s">
        <v>250</v>
      </c>
      <c r="B53" t="s">
        <v>98</v>
      </c>
      <c r="C53" s="7">
        <v>119286270872.12808</v>
      </c>
      <c r="D53" s="7">
        <v>157909016895.28326</v>
      </c>
      <c r="E53" s="7">
        <v>163008276234.76874</v>
      </c>
      <c r="F53" s="7">
        <v>169275115368.2904</v>
      </c>
      <c r="G53" s="7">
        <v>148570050440.7786</v>
      </c>
      <c r="H53" s="7">
        <v>154738180210.23337</v>
      </c>
      <c r="I53" s="7">
        <v>136020598146.1147</v>
      </c>
      <c r="J53" s="7">
        <v>144726607145.07672</v>
      </c>
      <c r="K53" s="7"/>
      <c r="L53" s="7">
        <v>315547295304.6253</v>
      </c>
    </row>
    <row r="54" spans="1:12" ht="15.75">
      <c r="A54" s="94" t="s">
        <v>251</v>
      </c>
      <c r="B54" t="s">
        <v>98</v>
      </c>
      <c r="C54" s="7">
        <v>80831979565.48972</v>
      </c>
      <c r="D54" s="7">
        <v>109475595897.45795</v>
      </c>
      <c r="E54" s="7">
        <v>89405803191.67447</v>
      </c>
      <c r="F54" s="7">
        <v>111624936652.73637</v>
      </c>
      <c r="G54" s="7">
        <v>106115317799.45738</v>
      </c>
      <c r="H54" s="7">
        <v>93421214418.96855</v>
      </c>
      <c r="I54" s="7">
        <v>92118587434.02406</v>
      </c>
      <c r="J54" s="7">
        <v>32873537337.575874</v>
      </c>
      <c r="K54" s="7"/>
      <c r="L54" s="7">
        <v>238023708753.4171</v>
      </c>
    </row>
    <row r="55" spans="1:12" ht="15.75">
      <c r="A55" s="94" t="s">
        <v>252</v>
      </c>
      <c r="B55" t="s">
        <v>98</v>
      </c>
      <c r="C55" s="7">
        <v>59713786850.40546</v>
      </c>
      <c r="D55" s="7">
        <v>93845434239.10861</v>
      </c>
      <c r="E55" s="7">
        <v>80657182694.90672</v>
      </c>
      <c r="F55" s="7">
        <v>93259161024.15175</v>
      </c>
      <c r="G55" s="7">
        <v>87536561835.3421</v>
      </c>
      <c r="H55" s="7">
        <v>77504794760.94466</v>
      </c>
      <c r="I55" s="7">
        <v>75806250292.33244</v>
      </c>
      <c r="J55" s="7">
        <v>11615223663.098742</v>
      </c>
      <c r="K55" s="7"/>
      <c r="L55" s="7">
        <v>150882889410.29306</v>
      </c>
    </row>
    <row r="56" spans="1:12" ht="15.75">
      <c r="A56" s="94" t="s">
        <v>253</v>
      </c>
      <c r="B56" t="s">
        <v>98</v>
      </c>
      <c r="C56" s="7">
        <v>142164000000</v>
      </c>
      <c r="D56" s="7">
        <v>154350887517.4731</v>
      </c>
      <c r="E56" s="7">
        <v>181193000000</v>
      </c>
      <c r="F56" s="7">
        <v>157530261687.34357</v>
      </c>
      <c r="G56" s="7">
        <v>144425000000</v>
      </c>
      <c r="H56" s="7">
        <v>152068000000</v>
      </c>
      <c r="I56" s="7">
        <v>150947130954.37506</v>
      </c>
      <c r="J56" s="7">
        <v>166671000000</v>
      </c>
      <c r="K56" s="7">
        <v>53247000000</v>
      </c>
      <c r="L56" s="7">
        <v>110274000000</v>
      </c>
    </row>
    <row r="57" spans="1:12" ht="15.75">
      <c r="A57" s="94" t="s">
        <v>254</v>
      </c>
      <c r="B57" t="s">
        <v>98</v>
      </c>
      <c r="C57" s="7">
        <v>40313000000</v>
      </c>
      <c r="D57" s="7">
        <v>40995000000</v>
      </c>
      <c r="E57" s="7">
        <v>48743000000</v>
      </c>
      <c r="F57" s="7">
        <v>43383000000</v>
      </c>
      <c r="G57" s="7">
        <v>36577000000</v>
      </c>
      <c r="H57" s="7">
        <v>44057000000</v>
      </c>
      <c r="I57" s="7">
        <v>33600000000</v>
      </c>
      <c r="J57" s="7">
        <v>61299000000</v>
      </c>
      <c r="K57" s="7">
        <v>22110000000</v>
      </c>
      <c r="L57" s="7">
        <v>38230000000</v>
      </c>
    </row>
    <row r="58" spans="1:12" ht="15.75">
      <c r="A58" s="94" t="s">
        <v>255</v>
      </c>
      <c r="B58" s="5" t="s">
        <v>79</v>
      </c>
      <c r="C58" s="7">
        <v>54.81434381749016</v>
      </c>
      <c r="D58" s="7">
        <v>67.520576895809</v>
      </c>
      <c r="E58" s="7">
        <v>95.6489301667161</v>
      </c>
      <c r="F58" s="7">
        <v>76.92840273557401</v>
      </c>
      <c r="G58" s="7">
        <v>58.977912771667015</v>
      </c>
      <c r="H58" s="7">
        <v>79.37956928645706</v>
      </c>
      <c r="I58" s="7">
        <v>58.82145336046963</v>
      </c>
      <c r="J58" s="7">
        <v>136.4777814171853</v>
      </c>
      <c r="K58" s="7"/>
      <c r="L58" s="7">
        <v>94.1717127009389</v>
      </c>
    </row>
    <row r="59" spans="1:12" ht="15.75">
      <c r="A59" s="94" t="s">
        <v>256</v>
      </c>
      <c r="B59" s="5" t="s">
        <v>79</v>
      </c>
      <c r="C59" s="7">
        <v>55.63808538220584</v>
      </c>
      <c r="D59" s="7">
        <v>51.555693037403664</v>
      </c>
      <c r="E59" s="7">
        <v>73.32399674441456</v>
      </c>
      <c r="F59" s="7">
        <v>50.920904558948585</v>
      </c>
      <c r="G59" s="7">
        <v>43.1019620013103</v>
      </c>
      <c r="H59" s="7">
        <v>54.672294268156676</v>
      </c>
      <c r="I59" s="7">
        <v>43.652491247675506</v>
      </c>
      <c r="J59" s="7">
        <v>136.86068950415373</v>
      </c>
      <c r="K59" s="7"/>
      <c r="L59" s="7">
        <v>22.608015445796152</v>
      </c>
    </row>
    <row r="60" spans="1:12" ht="15.75">
      <c r="A60" s="94" t="s">
        <v>257</v>
      </c>
      <c r="B60" s="5" t="s">
        <v>79</v>
      </c>
      <c r="C60" s="7">
        <v>61.21149796777827</v>
      </c>
      <c r="D60" s="7">
        <v>73.60680715752594</v>
      </c>
      <c r="E60" s="7">
        <v>104.58391290251734</v>
      </c>
      <c r="F60" s="7">
        <v>86.16307223050346</v>
      </c>
      <c r="G60" s="7">
        <v>66.0388572636139</v>
      </c>
      <c r="H60" s="7">
        <v>90.00738060520963</v>
      </c>
      <c r="I60" s="7">
        <v>68.12685219879415</v>
      </c>
      <c r="J60" s="7">
        <v>136.7652288082278</v>
      </c>
      <c r="K60" s="7"/>
      <c r="L60" s="7">
        <v>94.21341222136384</v>
      </c>
    </row>
    <row r="61" spans="1:12" ht="15.75">
      <c r="A61" s="94" t="s">
        <v>258</v>
      </c>
      <c r="B61" s="5" t="s">
        <v>79</v>
      </c>
      <c r="C61" s="7">
        <v>106.52690336944596</v>
      </c>
      <c r="D61" s="7">
        <v>88.47600088476001</v>
      </c>
      <c r="E61" s="7">
        <v>129.6478763677851</v>
      </c>
      <c r="F61" s="7">
        <v>95.60595051436002</v>
      </c>
      <c r="G61" s="7">
        <v>84.2516766083645</v>
      </c>
      <c r="H61" s="7">
        <v>103.65701965337094</v>
      </c>
      <c r="I61" s="7">
        <v>100.56922179536176</v>
      </c>
      <c r="J61" s="7">
        <v>162.4062104134862</v>
      </c>
      <c r="K61" s="7"/>
      <c r="L61" s="7">
        <v>22.779250835998507</v>
      </c>
    </row>
    <row r="63" ht="12.75">
      <c r="A63" s="94" t="s">
        <v>200</v>
      </c>
    </row>
    <row r="65" spans="1:13" ht="12.75">
      <c r="A65" s="89" t="s">
        <v>260</v>
      </c>
      <c r="C65" s="1">
        <v>2063.147803</v>
      </c>
      <c r="D65" s="1">
        <v>2063.147803</v>
      </c>
      <c r="E65" s="1">
        <v>2082.622048</v>
      </c>
      <c r="F65" s="1">
        <v>2082.622048</v>
      </c>
      <c r="G65" s="1">
        <v>2063.147803</v>
      </c>
      <c r="H65" s="1">
        <v>2082.622048</v>
      </c>
      <c r="I65" s="1">
        <v>2063.147803</v>
      </c>
      <c r="J65" s="1">
        <v>2200</v>
      </c>
      <c r="K65" s="1">
        <v>1550</v>
      </c>
      <c r="L65" s="1">
        <v>2000</v>
      </c>
      <c r="M65" t="s">
        <v>262</v>
      </c>
    </row>
    <row r="66" spans="1:12" ht="12.75">
      <c r="A66" s="89" t="s">
        <v>259</v>
      </c>
      <c r="C66" s="106">
        <v>-326.9383236</v>
      </c>
      <c r="D66" s="106">
        <v>-326.9383236</v>
      </c>
      <c r="E66" s="106">
        <v>-363.1672528</v>
      </c>
      <c r="F66" s="106">
        <v>-363.1672528</v>
      </c>
      <c r="G66" s="106">
        <v>-326.9383236</v>
      </c>
      <c r="H66" s="106">
        <v>-363.1672528</v>
      </c>
      <c r="I66" s="106">
        <v>-326.9383236</v>
      </c>
      <c r="J66" s="106">
        <v>0.0001</v>
      </c>
      <c r="K66" s="106">
        <v>0.0001</v>
      </c>
      <c r="L66" s="106">
        <v>0.0001</v>
      </c>
    </row>
    <row r="68" spans="1:13" ht="12.75">
      <c r="A68" s="89" t="s">
        <v>283</v>
      </c>
      <c r="C68" s="1">
        <v>53.844</v>
      </c>
      <c r="D68" s="1">
        <v>53.844</v>
      </c>
      <c r="E68" s="1">
        <v>26.636</v>
      </c>
      <c r="F68" s="1">
        <v>26.636</v>
      </c>
      <c r="G68" s="1">
        <v>53.844</v>
      </c>
      <c r="H68" s="1">
        <v>26.636</v>
      </c>
      <c r="I68" s="1">
        <v>53.844</v>
      </c>
      <c r="J68">
        <v>0</v>
      </c>
      <c r="K68">
        <v>0</v>
      </c>
      <c r="L68">
        <v>0</v>
      </c>
      <c r="M68" t="s">
        <v>285</v>
      </c>
    </row>
    <row r="69" spans="1:12" ht="12.75">
      <c r="A69" s="89" t="s">
        <v>284</v>
      </c>
      <c r="C69" s="1">
        <v>819.72</v>
      </c>
      <c r="D69" s="1">
        <v>819.72</v>
      </c>
      <c r="E69" s="1">
        <v>1018.2</v>
      </c>
      <c r="F69" s="1">
        <v>1018.2</v>
      </c>
      <c r="G69" s="1">
        <v>819.72</v>
      </c>
      <c r="H69" s="1">
        <v>1018.2</v>
      </c>
      <c r="I69" s="1">
        <v>819.72</v>
      </c>
      <c r="J69">
        <v>0</v>
      </c>
      <c r="K69">
        <v>0</v>
      </c>
      <c r="L69">
        <v>0</v>
      </c>
    </row>
    <row r="72" spans="1:12" ht="12.75">
      <c r="A72" s="89" t="s">
        <v>261</v>
      </c>
      <c r="C72">
        <v>880</v>
      </c>
      <c r="D72">
        <v>880</v>
      </c>
      <c r="E72">
        <v>1015</v>
      </c>
      <c r="F72">
        <v>1015</v>
      </c>
      <c r="G72">
        <v>880</v>
      </c>
      <c r="H72">
        <v>1015</v>
      </c>
      <c r="I72">
        <v>880</v>
      </c>
      <c r="J72">
        <v>900</v>
      </c>
      <c r="K72">
        <v>700</v>
      </c>
      <c r="L72">
        <v>900</v>
      </c>
    </row>
    <row r="73" ht="12.75">
      <c r="A73" s="89" t="s">
        <v>282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B2:J30"/>
  <sheetViews>
    <sheetView showGridLines="0" showRowColHeaders="0" zoomScale="75" zoomScaleNormal="75" workbookViewId="0" topLeftCell="A1">
      <selection activeCell="B26" sqref="B26:F26"/>
    </sheetView>
  </sheetViews>
  <sheetFormatPr defaultColWidth="9.140625" defaultRowHeight="12.75"/>
  <cols>
    <col min="1" max="1" width="2.57421875" style="41" customWidth="1"/>
    <col min="2" max="2" width="5.57421875" style="41" customWidth="1"/>
    <col min="3" max="3" width="30.421875" style="41" customWidth="1"/>
    <col min="4" max="4" width="8.8515625" style="41" customWidth="1"/>
    <col min="5" max="5" width="7.28125" style="41" customWidth="1"/>
    <col min="6" max="6" width="32.7109375" style="41" customWidth="1"/>
    <col min="7" max="7" width="4.7109375" style="41" customWidth="1"/>
    <col min="8" max="8" width="33.00390625" style="41" customWidth="1"/>
    <col min="9" max="9" width="10.28125" style="41" bestFit="1" customWidth="1"/>
    <col min="10" max="16384" width="8.8515625" style="41" customWidth="1"/>
  </cols>
  <sheetData>
    <row r="1" ht="6.75" customHeight="1" thickBot="1"/>
    <row r="2" spans="2:10" ht="27" customHeight="1" thickBot="1">
      <c r="B2" s="128" t="s">
        <v>197</v>
      </c>
      <c r="C2" s="129"/>
      <c r="D2" s="129"/>
      <c r="E2" s="129"/>
      <c r="F2" s="129"/>
      <c r="G2" s="129"/>
      <c r="H2" s="129"/>
      <c r="I2" s="129"/>
      <c r="J2" s="130"/>
    </row>
    <row r="3" ht="6" customHeight="1" thickBot="1"/>
    <row r="4" spans="2:10" ht="27" customHeight="1" thickBot="1">
      <c r="B4" s="138" t="s">
        <v>196</v>
      </c>
      <c r="C4" s="141"/>
      <c r="D4" s="141"/>
      <c r="E4" s="141"/>
      <c r="F4" s="109"/>
      <c r="H4" s="138" t="s">
        <v>180</v>
      </c>
      <c r="I4" s="139"/>
      <c r="J4" s="140"/>
    </row>
    <row r="5" spans="2:10" ht="18">
      <c r="B5" s="55"/>
      <c r="C5" s="56"/>
      <c r="D5" s="56"/>
      <c r="E5" s="56"/>
      <c r="F5" s="57"/>
      <c r="H5" s="110" t="str">
        <f>LOOKUP(Beregningsark!$B$4,Uddata!$B$1:$X$1,Uddata!B3:X3)</f>
        <v>Pz27  Disc  25 x 1 mm</v>
      </c>
      <c r="I5" s="111"/>
      <c r="J5" s="112"/>
    </row>
    <row r="6" spans="2:10" ht="3.75" customHeight="1" thickBot="1">
      <c r="B6" s="23"/>
      <c r="C6" s="24"/>
      <c r="D6" s="24"/>
      <c r="E6" s="24"/>
      <c r="F6" s="25"/>
      <c r="H6" s="37"/>
      <c r="I6" s="53"/>
      <c r="J6" s="54"/>
    </row>
    <row r="7" spans="2:10" ht="19.5" thickBot="1">
      <c r="B7" s="26" t="s">
        <v>83</v>
      </c>
      <c r="C7" s="27"/>
      <c r="D7" s="28"/>
      <c r="E7" s="28"/>
      <c r="F7" s="25"/>
      <c r="H7" s="59" t="s">
        <v>270</v>
      </c>
      <c r="I7" s="62">
        <f>LOOKUP(Beregningsark!$B$4,Uddata!$B$1:$X$1,Uddata!C5:Y5)</f>
        <v>7835.193721991294</v>
      </c>
      <c r="J7" s="63" t="s">
        <v>2</v>
      </c>
    </row>
    <row r="8" spans="2:10" ht="8.25" customHeight="1">
      <c r="B8" s="29"/>
      <c r="C8" s="27"/>
      <c r="D8" s="28"/>
      <c r="E8" s="28"/>
      <c r="F8" s="25"/>
      <c r="H8" s="37"/>
      <c r="I8" s="64"/>
      <c r="J8" s="63"/>
    </row>
    <row r="9" spans="2:10" ht="19.5" thickBot="1">
      <c r="B9" s="26" t="s">
        <v>86</v>
      </c>
      <c r="C9" s="27"/>
      <c r="D9" s="28"/>
      <c r="E9" s="28"/>
      <c r="F9" s="25"/>
      <c r="H9" s="59" t="s">
        <v>287</v>
      </c>
      <c r="I9" s="64"/>
      <c r="J9" s="63"/>
    </row>
    <row r="10" spans="2:10" ht="18.75" thickBot="1">
      <c r="B10" s="26"/>
      <c r="C10" s="27"/>
      <c r="D10" s="28"/>
      <c r="E10" s="28"/>
      <c r="F10" s="25"/>
      <c r="H10" s="60" t="s">
        <v>172</v>
      </c>
      <c r="I10" s="65">
        <f>LOOKUP(Beregningsark!$B$4,Uddata!$B$1:$X$1,Uddata!C8:Y8)</f>
        <v>80.44319999999999</v>
      </c>
      <c r="J10" s="63" t="s">
        <v>3</v>
      </c>
    </row>
    <row r="11" spans="2:10" ht="18.75" thickBot="1">
      <c r="B11" s="26" t="s">
        <v>108</v>
      </c>
      <c r="C11" s="27"/>
      <c r="D11" s="28"/>
      <c r="E11" s="28"/>
      <c r="F11" s="25"/>
      <c r="H11" s="60" t="s">
        <v>173</v>
      </c>
      <c r="I11" s="65">
        <f>LOOKUP(Beregningsark!$B$4,Uddata!$B$1:$X$1,Uddata!C9:Y9)</f>
        <v>2050.070270056</v>
      </c>
      <c r="J11" s="63" t="s">
        <v>3</v>
      </c>
    </row>
    <row r="12" spans="2:10" ht="18.75" thickBot="1">
      <c r="B12" s="26"/>
      <c r="C12" s="68" t="s">
        <v>124</v>
      </c>
      <c r="D12" s="88">
        <v>25</v>
      </c>
      <c r="E12" s="68" t="s">
        <v>0</v>
      </c>
      <c r="F12" s="25"/>
      <c r="H12" s="60" t="s">
        <v>174</v>
      </c>
      <c r="I12" s="65" t="str">
        <f>LOOKUP(Beregningsark!$B$4,Uddata!$B$1:$X$1,Uddata!C10:Y10)</f>
        <v>N/A</v>
      </c>
      <c r="J12" s="63" t="s">
        <v>3</v>
      </c>
    </row>
    <row r="13" spans="2:10" ht="18.75" thickBot="1">
      <c r="B13" s="26"/>
      <c r="C13" s="68" t="s">
        <v>125</v>
      </c>
      <c r="D13" s="88">
        <v>0</v>
      </c>
      <c r="E13" s="68" t="s">
        <v>0</v>
      </c>
      <c r="F13" s="75">
        <f>Parametre!J7</f>
      </c>
      <c r="H13" s="60" t="s">
        <v>175</v>
      </c>
      <c r="I13" s="65" t="str">
        <f>LOOKUP(Beregningsark!$B$4,Uddata!$B$1:$X$1,Uddata!C11:Y11)</f>
        <v>N/A</v>
      </c>
      <c r="J13" s="63" t="s">
        <v>3</v>
      </c>
    </row>
    <row r="14" spans="2:10" ht="18.75" thickBot="1">
      <c r="B14" s="26"/>
      <c r="C14" s="68" t="s">
        <v>126</v>
      </c>
      <c r="D14" s="88">
        <v>1</v>
      </c>
      <c r="E14" s="68" t="s">
        <v>0</v>
      </c>
      <c r="F14" s="25"/>
      <c r="H14" s="60" t="s">
        <v>176</v>
      </c>
      <c r="I14" s="65" t="str">
        <f>LOOKUP(Beregningsark!$B$4,Uddata!$B$1:$X$1,Uddata!C12:Y12)</f>
        <v>N/A</v>
      </c>
      <c r="J14" s="63" t="s">
        <v>3</v>
      </c>
    </row>
    <row r="15" spans="2:10" ht="18.75" thickBot="1">
      <c r="B15" s="26"/>
      <c r="C15" s="27"/>
      <c r="D15" s="30"/>
      <c r="E15" s="31"/>
      <c r="F15" s="25"/>
      <c r="H15" s="60" t="s">
        <v>177</v>
      </c>
      <c r="I15" s="65" t="str">
        <f>LOOKUP(Beregningsark!$B$4,Uddata!$B$1:$X$1,Uddata!C13:Y13)</f>
        <v>N/A</v>
      </c>
      <c r="J15" s="63" t="s">
        <v>3</v>
      </c>
    </row>
    <row r="16" spans="2:10" ht="18.75" thickBot="1">
      <c r="B16" s="26" t="s">
        <v>109</v>
      </c>
      <c r="C16" s="27"/>
      <c r="D16" s="30"/>
      <c r="E16" s="31"/>
      <c r="F16" s="25"/>
      <c r="H16" s="60" t="s">
        <v>178</v>
      </c>
      <c r="I16" s="65" t="str">
        <f>LOOKUP(Beregningsark!$B$4,Uddata!$B$1:$X$1,Uddata!C14:Y14)</f>
        <v>N/A</v>
      </c>
      <c r="J16" s="63" t="s">
        <v>3</v>
      </c>
    </row>
    <row r="17" spans="2:10" ht="18.75" thickBot="1">
      <c r="B17" s="26"/>
      <c r="C17" s="27" t="s">
        <v>106</v>
      </c>
      <c r="D17" s="88">
        <v>0</v>
      </c>
      <c r="E17" s="27" t="s">
        <v>181</v>
      </c>
      <c r="F17" s="25"/>
      <c r="H17" s="37"/>
      <c r="I17" s="64"/>
      <c r="J17" s="63"/>
    </row>
    <row r="18" spans="2:10" ht="21" customHeight="1" thickBot="1">
      <c r="B18" s="26"/>
      <c r="C18" s="32"/>
      <c r="D18" s="34">
        <f>Parametre!E8</f>
      </c>
      <c r="E18" s="33"/>
      <c r="F18" s="25"/>
      <c r="H18" s="59" t="str">
        <f>"Static displacement at "&amp;Discs!$C$33&amp;" volts"</f>
        <v>Static displacement at 0 volts</v>
      </c>
      <c r="I18" s="64"/>
      <c r="J18" s="63"/>
    </row>
    <row r="19" spans="2:10" ht="20.25" thickBot="1">
      <c r="B19" s="26" t="s">
        <v>107</v>
      </c>
      <c r="C19" s="27"/>
      <c r="D19" s="34">
        <f>Parametre!E9</f>
      </c>
      <c r="E19" s="27"/>
      <c r="F19" s="25"/>
      <c r="H19" s="61" t="s">
        <v>182</v>
      </c>
      <c r="I19" s="66">
        <f>LOOKUP(Beregningsark!$B$4,Uddata!$B$1:$X$1,Uddata!C17:Y17)</f>
        <v>0</v>
      </c>
      <c r="J19" s="67" t="s">
        <v>189</v>
      </c>
    </row>
    <row r="20" spans="2:10" ht="20.25" thickBot="1">
      <c r="B20" s="35"/>
      <c r="C20" s="68" t="s">
        <v>118</v>
      </c>
      <c r="D20" s="88">
        <v>0</v>
      </c>
      <c r="E20" s="68" t="s">
        <v>115</v>
      </c>
      <c r="F20" s="25"/>
      <c r="H20" s="61" t="s">
        <v>183</v>
      </c>
      <c r="I20" s="66">
        <f>LOOKUP(Beregningsark!$B$4,Uddata!$B$1:$X$1,Uddata!C18:Y18)</f>
        <v>0</v>
      </c>
      <c r="J20" s="67" t="s">
        <v>189</v>
      </c>
    </row>
    <row r="21" spans="2:10" ht="20.25" thickBot="1">
      <c r="B21" s="35"/>
      <c r="C21" s="68" t="s">
        <v>119</v>
      </c>
      <c r="D21" s="88">
        <v>0</v>
      </c>
      <c r="E21" s="68" t="s">
        <v>115</v>
      </c>
      <c r="F21" s="25"/>
      <c r="H21" s="61" t="s">
        <v>184</v>
      </c>
      <c r="I21" s="66" t="str">
        <f>LOOKUP(Beregningsark!$B$4,Uddata!$B$1:$X$1,Uddata!C19:Y19)</f>
        <v>N/A</v>
      </c>
      <c r="J21" s="67" t="s">
        <v>189</v>
      </c>
    </row>
    <row r="22" spans="2:10" ht="20.25" thickBot="1">
      <c r="B22" s="35"/>
      <c r="C22" s="68" t="s">
        <v>137</v>
      </c>
      <c r="D22" s="88">
        <v>0</v>
      </c>
      <c r="E22" s="68" t="s">
        <v>115</v>
      </c>
      <c r="F22" s="25"/>
      <c r="H22" s="61" t="s">
        <v>185</v>
      </c>
      <c r="I22" s="66" t="str">
        <f>LOOKUP(Beregningsark!$B$4,Uddata!$B$1:$X$1,Uddata!C20:Y20)</f>
        <v>N/A</v>
      </c>
      <c r="J22" s="67" t="s">
        <v>189</v>
      </c>
    </row>
    <row r="23" spans="2:10" ht="20.25" thickBot="1">
      <c r="B23" s="72"/>
      <c r="C23" s="73"/>
      <c r="D23" s="73"/>
      <c r="E23" s="73"/>
      <c r="F23" s="74"/>
      <c r="H23" s="61" t="s">
        <v>271</v>
      </c>
      <c r="I23" s="66" t="str">
        <f>LOOKUP(Beregningsark!$B$4,Uddata!$B$1:$X$1,Uddata!C21:Y21)</f>
        <v>N/A</v>
      </c>
      <c r="J23" s="67" t="s">
        <v>189</v>
      </c>
    </row>
    <row r="24" spans="2:10" ht="14.25" customHeight="1">
      <c r="B24" s="131" t="s">
        <v>273</v>
      </c>
      <c r="C24" s="132"/>
      <c r="D24" s="132"/>
      <c r="E24" s="132"/>
      <c r="F24" s="133"/>
      <c r="H24" s="48"/>
      <c r="I24" s="64"/>
      <c r="J24" s="63"/>
    </row>
    <row r="25" spans="2:10" ht="19.5" thickBot="1">
      <c r="B25" s="131" t="s">
        <v>274</v>
      </c>
      <c r="C25" s="132"/>
      <c r="D25" s="132"/>
      <c r="E25" s="132"/>
      <c r="F25" s="133"/>
      <c r="H25" s="59" t="s">
        <v>158</v>
      </c>
      <c r="I25" s="64"/>
      <c r="J25" s="63"/>
    </row>
    <row r="26" spans="2:10" ht="20.25" thickBot="1">
      <c r="B26" s="131" t="s">
        <v>266</v>
      </c>
      <c r="C26" s="132"/>
      <c r="D26" s="132"/>
      <c r="E26" s="132"/>
      <c r="F26" s="133"/>
      <c r="H26" s="60" t="s">
        <v>186</v>
      </c>
      <c r="I26" s="66">
        <f>LOOKUP(Beregningsark!$B$4,Uddata!$B$1:$X$1,Uddata!C24:Y24)</f>
        <v>0</v>
      </c>
      <c r="J26" s="63" t="s">
        <v>181</v>
      </c>
    </row>
    <row r="27" spans="2:10" ht="20.25" thickBot="1">
      <c r="B27" s="134" t="s">
        <v>167</v>
      </c>
      <c r="C27" s="137"/>
      <c r="D27" s="137"/>
      <c r="E27" s="137"/>
      <c r="F27" s="118"/>
      <c r="H27" s="60" t="s">
        <v>187</v>
      </c>
      <c r="I27" s="66" t="str">
        <f>LOOKUP(Beregningsark!$B$4,Uddata!$B$1:$X$1,Uddata!C25:Y25)</f>
        <v>N/A</v>
      </c>
      <c r="J27" s="63" t="s">
        <v>181</v>
      </c>
    </row>
    <row r="28" spans="2:10" ht="20.25" thickBot="1">
      <c r="B28" s="134" t="s">
        <v>265</v>
      </c>
      <c r="C28" s="135"/>
      <c r="D28" s="135"/>
      <c r="E28" s="135"/>
      <c r="F28" s="136"/>
      <c r="H28" s="60" t="s">
        <v>188</v>
      </c>
      <c r="I28" s="66">
        <f>LOOKUP(Beregningsark!$B$4,Uddata!$B$1:$X$1,Uddata!C26:Y26)</f>
        <v>0</v>
      </c>
      <c r="J28" s="63" t="s">
        <v>181</v>
      </c>
    </row>
    <row r="29" spans="2:10" ht="20.25" thickBot="1">
      <c r="B29" s="69"/>
      <c r="C29" s="70"/>
      <c r="D29" s="70"/>
      <c r="E29" s="70"/>
      <c r="F29" s="71"/>
      <c r="H29" s="60" t="s">
        <v>272</v>
      </c>
      <c r="I29" s="66" t="str">
        <f>LOOKUP(Beregningsark!$B$4,Uddata!$B$1:$X$1,Uddata!C27:Y27)</f>
        <v>N/A</v>
      </c>
      <c r="J29" s="63" t="s">
        <v>181</v>
      </c>
    </row>
    <row r="30" spans="2:10" ht="3.75" customHeight="1" thickBot="1">
      <c r="B30" s="125"/>
      <c r="C30" s="126"/>
      <c r="D30" s="126"/>
      <c r="E30" s="126"/>
      <c r="F30" s="127"/>
      <c r="H30" s="38"/>
      <c r="I30" s="39"/>
      <c r="J30" s="40"/>
    </row>
    <row r="31" ht="12.75"/>
    <row r="34" ht="12.75"/>
  </sheetData>
  <sheetProtection password="DEC1" sheet="1" objects="1" scenarios="1"/>
  <mergeCells count="10">
    <mergeCell ref="B30:F30"/>
    <mergeCell ref="B2:J2"/>
    <mergeCell ref="B25:F25"/>
    <mergeCell ref="B28:F28"/>
    <mergeCell ref="B27:F27"/>
    <mergeCell ref="H4:J4"/>
    <mergeCell ref="B4:F4"/>
    <mergeCell ref="B26:F26"/>
    <mergeCell ref="H5:J5"/>
    <mergeCell ref="B24:F24"/>
  </mergeCells>
  <hyperlinks>
    <hyperlink ref="B25" r:id="rId1" display="Further information"/>
    <hyperlink ref="B26" location="Notes!A1" display="Click here to see spreadsheet notes"/>
    <hyperlink ref="B24" r:id="rId2" display="Click here to E-mail autors"/>
  </hyperlinks>
  <printOptions horizontalCentered="1" verticalCentered="1"/>
  <pageMargins left="0.73" right="0.78" top="0.6692913385826772" bottom="1.19" header="0.31496062992125984" footer="0.57"/>
  <pageSetup orientation="portrait" paperSize="9" r:id="rId5"/>
  <headerFooter alignWithMargins="0">
    <oddHeader>&amp;CFerroperm Piezoelectric Calculator</oddHeader>
    <oddFooter>&amp;CFerroperm Piezoceramics A/S
Hejreskovvej 18A    DK-3490 Kvistgaard    Denmark    Tel: +45 - 4912 7100    Fax: +45 - 4913 8188
Internet:  www.ferroperm-piezo.com   E-mail: pz@ferroperm-piezo.com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showRowColHeaders="0" zoomScale="75" zoomScaleNormal="75" workbookViewId="0" topLeftCell="A1">
      <selection activeCell="A1" sqref="A1"/>
    </sheetView>
  </sheetViews>
  <sheetFormatPr defaultColWidth="8.8515625" defaultRowHeight="12.75"/>
  <cols>
    <col min="1" max="1" width="3.28125" style="76" customWidth="1"/>
    <col min="2" max="2" width="20.28125" style="76" customWidth="1"/>
    <col min="3" max="16384" width="8.8515625" style="76" customWidth="1"/>
  </cols>
  <sheetData>
    <row r="1" ht="20.25">
      <c r="A1" s="58" t="s">
        <v>195</v>
      </c>
    </row>
    <row r="3" ht="15">
      <c r="B3" s="76" t="s">
        <v>275</v>
      </c>
    </row>
    <row r="4" ht="15">
      <c r="B4" s="76" t="s">
        <v>267</v>
      </c>
    </row>
    <row r="5" ht="15">
      <c r="B5" s="76" t="s">
        <v>268</v>
      </c>
    </row>
    <row r="6" ht="15">
      <c r="B6" s="76" t="s">
        <v>192</v>
      </c>
    </row>
    <row r="8" ht="15">
      <c r="B8" s="77" t="s">
        <v>193</v>
      </c>
    </row>
    <row r="9" ht="15">
      <c r="B9" s="78" t="s">
        <v>190</v>
      </c>
    </row>
    <row r="10" ht="15">
      <c r="B10" s="78" t="s">
        <v>191</v>
      </c>
    </row>
    <row r="11" ht="15">
      <c r="B11" s="78" t="s">
        <v>264</v>
      </c>
    </row>
    <row r="12" ht="15">
      <c r="B12" s="78" t="s">
        <v>198</v>
      </c>
    </row>
    <row r="13" ht="15">
      <c r="B13" s="78"/>
    </row>
    <row r="14" ht="15">
      <c r="B14" s="79" t="s">
        <v>194</v>
      </c>
    </row>
    <row r="15" ht="15">
      <c r="B15" s="78" t="s">
        <v>276</v>
      </c>
    </row>
    <row r="16" ht="15">
      <c r="B16" s="78" t="s">
        <v>277</v>
      </c>
    </row>
    <row r="17" ht="15">
      <c r="B17" s="78" t="s">
        <v>278</v>
      </c>
    </row>
    <row r="18" ht="15">
      <c r="B18" s="78"/>
    </row>
    <row r="19" ht="15.75" thickBot="1"/>
    <row r="20" spans="2:3" ht="18.75" thickBot="1">
      <c r="B20" s="113" t="s">
        <v>179</v>
      </c>
      <c r="C20" s="142"/>
    </row>
  </sheetData>
  <sheetProtection password="DEC1" sheet="1" objects="1" scenarios="1"/>
  <mergeCells count="1">
    <mergeCell ref="B20:C20"/>
  </mergeCells>
  <hyperlinks>
    <hyperlink ref="B20:C20" location="Calculator!A1" display="Back to calculator"/>
  </hyperlinks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2"/>
  <dimension ref="A1:Q12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3" max="3" width="10.28125" style="0" customWidth="1"/>
    <col min="15" max="15" width="10.7109375" style="0" customWidth="1"/>
  </cols>
  <sheetData>
    <row r="1" spans="1:15" ht="12.75">
      <c r="A1" t="s">
        <v>84</v>
      </c>
      <c r="C1" t="s">
        <v>87</v>
      </c>
      <c r="E1" t="s">
        <v>142</v>
      </c>
      <c r="J1" t="s">
        <v>151</v>
      </c>
      <c r="O1" t="s">
        <v>146</v>
      </c>
    </row>
    <row r="2" spans="5:17" ht="12.75">
      <c r="E2" t="s">
        <v>143</v>
      </c>
      <c r="O2" t="s">
        <v>144</v>
      </c>
      <c r="P2">
        <f>Calculator!D17</f>
        <v>0</v>
      </c>
      <c r="Q2" t="s">
        <v>149</v>
      </c>
    </row>
    <row r="3" spans="1:11" ht="12.75">
      <c r="A3" s="19" t="s">
        <v>8</v>
      </c>
      <c r="C3" t="s">
        <v>88</v>
      </c>
      <c r="J3" t="s">
        <v>152</v>
      </c>
      <c r="K3">
        <f>IF(Beregningsark!B4=1,1,0)</f>
        <v>1</v>
      </c>
    </row>
    <row r="4" spans="1:16" ht="12.75">
      <c r="A4" s="19" t="s">
        <v>9</v>
      </c>
      <c r="C4" t="s">
        <v>89</v>
      </c>
      <c r="E4" t="s">
        <v>144</v>
      </c>
      <c r="F4">
        <f>IF(Calculator!D17&lt;&gt;0,1,0)</f>
        <v>0</v>
      </c>
      <c r="J4" t="s">
        <v>153</v>
      </c>
      <c r="K4">
        <f>IF(Calculator!D13=0,0,1)</f>
        <v>0</v>
      </c>
      <c r="O4" t="s">
        <v>147</v>
      </c>
      <c r="P4" t="s">
        <v>148</v>
      </c>
    </row>
    <row r="5" spans="1:17" ht="12.75">
      <c r="A5" s="19" t="s">
        <v>10</v>
      </c>
      <c r="C5" t="s">
        <v>91</v>
      </c>
      <c r="E5" t="s">
        <v>145</v>
      </c>
      <c r="F5">
        <f>IF(SUM(Calculator!D20:D22)&lt;&gt;0,1,0)</f>
        <v>0</v>
      </c>
      <c r="O5">
        <v>1</v>
      </c>
      <c r="P5">
        <f>P2/Calculator!D12</f>
        <v>0</v>
      </c>
      <c r="Q5" t="s">
        <v>150</v>
      </c>
    </row>
    <row r="6" spans="1:17" ht="12.75">
      <c r="A6" s="19" t="s">
        <v>11</v>
      </c>
      <c r="C6" t="s">
        <v>90</v>
      </c>
      <c r="J6" t="s">
        <v>154</v>
      </c>
      <c r="K6">
        <f>K3+K4</f>
        <v>1</v>
      </c>
      <c r="O6">
        <v>2</v>
      </c>
      <c r="P6">
        <f>P2/Calculator!D12</f>
        <v>0</v>
      </c>
      <c r="Q6" t="s">
        <v>150</v>
      </c>
    </row>
    <row r="7" spans="1:17" ht="12.75">
      <c r="A7" s="19" t="s">
        <v>168</v>
      </c>
      <c r="C7" t="s">
        <v>93</v>
      </c>
      <c r="E7" t="s">
        <v>154</v>
      </c>
      <c r="F7">
        <f>SUM(F4:F5)</f>
        <v>0</v>
      </c>
      <c r="J7">
        <f>IF(Parametre!K6&gt;1,"Dim 2 must be ZERO for discs","")</f>
      </c>
      <c r="O7">
        <v>3</v>
      </c>
      <c r="P7">
        <f>2*P2/(Calculator!D12-Calculator!D13)</f>
        <v>0</v>
      </c>
      <c r="Q7" t="s">
        <v>150</v>
      </c>
    </row>
    <row r="8" spans="1:17" ht="12.75">
      <c r="A8" s="19" t="s">
        <v>13</v>
      </c>
      <c r="C8" t="s">
        <v>92</v>
      </c>
      <c r="E8">
        <f>IF(Parametre!F7=2,"NOT POSSIBLE TO CALCULATE ","")</f>
      </c>
      <c r="O8">
        <v>4</v>
      </c>
      <c r="P8">
        <f>P2/Calculator!D12</f>
        <v>0</v>
      </c>
      <c r="Q8" t="s">
        <v>150</v>
      </c>
    </row>
    <row r="9" spans="1:17" ht="12.75">
      <c r="A9" s="19" t="s">
        <v>14</v>
      </c>
      <c r="E9">
        <f>IF(Parametre!F7=2,"PLEASE SELECT 1 PARAMETER ONLY ","")</f>
      </c>
      <c r="O9">
        <v>5</v>
      </c>
      <c r="P9">
        <f>P2/Calculator!D12</f>
        <v>0</v>
      </c>
      <c r="Q9" t="s">
        <v>150</v>
      </c>
    </row>
    <row r="10" spans="1:17" ht="12.75">
      <c r="A10" s="19" t="s">
        <v>15</v>
      </c>
      <c r="O10">
        <v>6</v>
      </c>
      <c r="P10">
        <f>2*P2/(Calculator!D12-Calculator!D13)</f>
        <v>0</v>
      </c>
      <c r="Q10" t="s">
        <v>150</v>
      </c>
    </row>
    <row r="11" ht="12.75">
      <c r="A11" s="19" t="s">
        <v>16</v>
      </c>
    </row>
    <row r="12" ht="12.75">
      <c r="A12" s="19" t="s">
        <v>17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3"/>
  <dimension ref="A1:C80"/>
  <sheetViews>
    <sheetView zoomScale="75" zoomScaleNormal="75" workbookViewId="0" topLeftCell="A55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139</v>
      </c>
    </row>
    <row r="3" spans="1:2" ht="12.75">
      <c r="A3" t="s">
        <v>85</v>
      </c>
      <c r="B3">
        <v>5</v>
      </c>
    </row>
    <row r="4" spans="1:2" ht="12.75">
      <c r="A4" t="s">
        <v>122</v>
      </c>
      <c r="B4">
        <v>1</v>
      </c>
    </row>
    <row r="6" ht="12.75">
      <c r="A6" t="s">
        <v>99</v>
      </c>
    </row>
    <row r="8" spans="1:3" ht="12.75">
      <c r="A8" s="5" t="s">
        <v>6</v>
      </c>
      <c r="B8" s="5" t="s">
        <v>7</v>
      </c>
      <c r="C8" t="s">
        <v>94</v>
      </c>
    </row>
    <row r="9" spans="1:2" ht="12.75">
      <c r="A9" s="5"/>
      <c r="B9" s="5"/>
    </row>
    <row r="10" spans="1:3" ht="12.75">
      <c r="A10" s="5"/>
      <c r="B10" s="5"/>
      <c r="C10" s="5" t="str">
        <f>LOOKUP($B$3,'Materiale constanter'!$C$1:$L$1,'Materiale constanter'!C2:L2)</f>
        <v>Pz27 </v>
      </c>
    </row>
    <row r="11" spans="1:2" ht="12.75">
      <c r="A11" s="5"/>
      <c r="B11" s="5"/>
    </row>
    <row r="12" spans="1:3" ht="15.75">
      <c r="A12" s="6" t="s">
        <v>18</v>
      </c>
      <c r="C12">
        <f>LOOKUP($B$3,'Materiale constanter'!$C$1:$L$1,'Materiale constanter'!C3:L3)</f>
        <v>1795.99</v>
      </c>
    </row>
    <row r="13" spans="1:3" ht="15.75">
      <c r="A13" s="8" t="s">
        <v>19</v>
      </c>
      <c r="C13">
        <f>LOOKUP($B$3,'Materiale constanter'!$C$1:$L$1,'Materiale constanter'!C4:L4)</f>
        <v>1802.77</v>
      </c>
    </row>
    <row r="14" spans="1:3" ht="15.75">
      <c r="A14" s="6" t="s">
        <v>20</v>
      </c>
      <c r="C14">
        <f>LOOKUP($B$3,'Materiale constanter'!$C$1:$L$1,'Materiale constanter'!C5:L5)</f>
        <v>1129.69</v>
      </c>
    </row>
    <row r="15" spans="1:3" ht="15.75">
      <c r="A15" s="6" t="s">
        <v>21</v>
      </c>
      <c r="C15">
        <f>LOOKUP($B$3,'Materiale constanter'!$C$1:$L$1,'Materiale constanter'!C6:L6)</f>
        <v>913.73</v>
      </c>
    </row>
    <row r="16" spans="1:3" ht="15.75">
      <c r="A16" s="9" t="s">
        <v>22</v>
      </c>
      <c r="C16">
        <f>LOOKUP($B$3,'Materiale constanter'!$C$1:$L$1,'Materiale constanter'!C7:L7)</f>
        <v>0.017</v>
      </c>
    </row>
    <row r="17" spans="1:3" ht="15.75">
      <c r="A17" s="11" t="s">
        <v>23</v>
      </c>
      <c r="B17" t="s">
        <v>24</v>
      </c>
      <c r="C17">
        <f>LOOKUP($B$3,'Materiale constanter'!$C$1:$L$1,'Materiale constanter'!C8:L8)</f>
        <v>350</v>
      </c>
    </row>
    <row r="18" spans="1:3" ht="15.75">
      <c r="A18" s="11" t="s">
        <v>25</v>
      </c>
      <c r="C18">
        <f>LOOKUP($B$3,'Materiale constanter'!$C$1:$L$1,'Materiale constanter'!C9:L9)</f>
        <v>0.5917</v>
      </c>
    </row>
    <row r="19" spans="1:3" ht="15.75">
      <c r="A19" s="11" t="s">
        <v>26</v>
      </c>
      <c r="C19">
        <f>LOOKUP($B$3,'Materiale constanter'!$C$1:$L$1,'Materiale constanter'!C10:L10)</f>
        <v>0.4692</v>
      </c>
    </row>
    <row r="20" spans="1:3" ht="15.75">
      <c r="A20" s="11" t="s">
        <v>27</v>
      </c>
      <c r="C20">
        <f>LOOKUP($B$3,'Materiale constanter'!$C$1:$L$1,'Materiale constanter'!C11:L11)</f>
        <v>0.327</v>
      </c>
    </row>
    <row r="21" spans="1:3" ht="15.75">
      <c r="A21" s="11" t="s">
        <v>28</v>
      </c>
      <c r="C21">
        <f>LOOKUP($B$3,'Materiale constanter'!$C$1:$L$1,'Materiale constanter'!C12:L12)</f>
        <v>0.6989</v>
      </c>
    </row>
    <row r="22" spans="1:3" ht="15.75">
      <c r="A22" s="11" t="s">
        <v>29</v>
      </c>
      <c r="C22">
        <f>LOOKUP($B$3,'Materiale constanter'!$C$1:$L$1,'Materiale constanter'!C13:L13)</f>
        <v>0.609</v>
      </c>
    </row>
    <row r="23" spans="1:3" ht="15.75">
      <c r="A23" s="11" t="s">
        <v>30</v>
      </c>
      <c r="B23" t="s">
        <v>31</v>
      </c>
      <c r="C23">
        <f>LOOKUP($B$3,'Materiale constanter'!$C$1:$L$1,'Materiale constanter'!C14:L14)</f>
        <v>-1.699915E-10</v>
      </c>
    </row>
    <row r="24" spans="1:3" ht="15.75">
      <c r="A24" s="11" t="s">
        <v>32</v>
      </c>
      <c r="B24" t="s">
        <v>31</v>
      </c>
      <c r="C24">
        <f>LOOKUP($B$3,'Materiale constanter'!$C$1:$L$1,'Materiale constanter'!C15:L15)</f>
        <v>4.25E-10</v>
      </c>
    </row>
    <row r="25" spans="1:3" ht="15.75">
      <c r="A25" s="11" t="s">
        <v>33</v>
      </c>
      <c r="B25" t="s">
        <v>31</v>
      </c>
      <c r="C25">
        <f>LOOKUP($B$3,'Materiale constanter'!$C$1:$L$1,'Materiale constanter'!C16:L16)</f>
        <v>5.059634E-10</v>
      </c>
    </row>
    <row r="26" spans="1:3" ht="15.75">
      <c r="A26" s="11" t="s">
        <v>34</v>
      </c>
      <c r="B26" t="s">
        <v>31</v>
      </c>
      <c r="C26">
        <f>LOOKUP($B$3,'Materiale constanter'!$C$1:$L$1,'Materiale constanter'!C17:L17)</f>
        <v>8.501699999999996E-11</v>
      </c>
    </row>
    <row r="27" spans="1:3" ht="15.75">
      <c r="A27" s="11" t="s">
        <v>35</v>
      </c>
      <c r="B27" t="s">
        <v>36</v>
      </c>
      <c r="C27">
        <f>LOOKUP($B$3,'Materiale constanter'!$C$1:$L$1,'Materiale constanter'!C18:L18)</f>
        <v>-0.0106645</v>
      </c>
    </row>
    <row r="28" spans="1:3" ht="15.75">
      <c r="A28" s="11" t="s">
        <v>37</v>
      </c>
      <c r="B28" t="s">
        <v>36</v>
      </c>
      <c r="C28">
        <f>LOOKUP($B$3,'Materiale constanter'!$C$1:$L$1,'Materiale constanter'!C19:L19)</f>
        <v>0.0266625</v>
      </c>
    </row>
    <row r="29" spans="1:3" ht="15.75">
      <c r="A29" s="11" t="s">
        <v>38</v>
      </c>
      <c r="B29" t="s">
        <v>36</v>
      </c>
      <c r="C29">
        <f>LOOKUP($B$3,'Materiale constanter'!$C$1:$L$1,'Materiale constanter'!C20:L20)</f>
        <v>0.0373269</v>
      </c>
    </row>
    <row r="30" spans="1:3" ht="15.75">
      <c r="A30" s="11" t="s">
        <v>39</v>
      </c>
      <c r="B30" t="s">
        <v>95</v>
      </c>
      <c r="C30">
        <f>LOOKUP($B$3,'Materiale constanter'!$C$1:$L$1,'Materiale constanter'!C21:L21)</f>
        <v>-3.0874407739346665</v>
      </c>
    </row>
    <row r="31" spans="1:3" ht="15.75">
      <c r="A31" s="11" t="s">
        <v>40</v>
      </c>
      <c r="B31" t="s">
        <v>95</v>
      </c>
      <c r="C31">
        <f>LOOKUP($B$3,'Materiale constanter'!$C$1:$L$1,'Materiale constanter'!C22:L22)</f>
        <v>16.0264</v>
      </c>
    </row>
    <row r="32" spans="1:3" ht="15.75">
      <c r="A32" s="11" t="s">
        <v>41</v>
      </c>
      <c r="B32" t="s">
        <v>95</v>
      </c>
      <c r="C32">
        <f>LOOKUP($B$3,'Materiale constanter'!$C$1:$L$1,'Materiale constanter'!C23:L23)</f>
        <v>11.6439</v>
      </c>
    </row>
    <row r="33" spans="1:3" ht="15.75">
      <c r="A33" s="11" t="s">
        <v>42</v>
      </c>
      <c r="B33" t="s">
        <v>43</v>
      </c>
      <c r="C33">
        <f>LOOKUP($B$3,'Materiale constanter'!$C$1:$L$1,'Materiale constanter'!C24:L24)</f>
        <v>-381620937.090966</v>
      </c>
    </row>
    <row r="34" spans="1:3" ht="15.75">
      <c r="A34" s="11" t="s">
        <v>44</v>
      </c>
      <c r="B34" t="s">
        <v>43</v>
      </c>
      <c r="C34">
        <f>LOOKUP($B$3,'Materiale constanter'!$C$1:$L$1,'Materiale constanter'!C25:L25)</f>
        <v>1983670000</v>
      </c>
    </row>
    <row r="35" spans="1:3" ht="15.75">
      <c r="A35" s="11" t="s">
        <v>45</v>
      </c>
      <c r="B35" t="s">
        <v>43</v>
      </c>
      <c r="C35">
        <f>LOOKUP($B$3,'Materiale constanter'!$C$1:$L$1,'Materiale constanter'!C26:L26)</f>
        <v>1164100899.9805558</v>
      </c>
    </row>
    <row r="36" spans="1:3" ht="15.75">
      <c r="A36" s="11" t="s">
        <v>46</v>
      </c>
      <c r="B36" t="s">
        <v>47</v>
      </c>
      <c r="C36">
        <f>LOOKUP($B$3,'Materiale constanter'!$C$1:$L$1,'Materiale constanter'!C27:L27)</f>
        <v>2011.08</v>
      </c>
    </row>
    <row r="37" spans="1:3" ht="15.75">
      <c r="A37" s="11" t="s">
        <v>48</v>
      </c>
      <c r="B37" t="s">
        <v>47</v>
      </c>
      <c r="C37">
        <f>LOOKUP($B$3,'Materiale constanter'!$C$1:$L$1,'Materiale constanter'!C28:L28)</f>
        <v>1952.94</v>
      </c>
    </row>
    <row r="38" spans="1:3" ht="15.75">
      <c r="A38" s="11" t="s">
        <v>49</v>
      </c>
      <c r="B38" t="s">
        <v>47</v>
      </c>
      <c r="C38">
        <f>LOOKUP($B$3,'Materiale constanter'!$C$1:$L$1,'Materiale constanter'!C29:L29)</f>
        <v>1400</v>
      </c>
    </row>
    <row r="39" spans="1:3" ht="15.75">
      <c r="A39" s="11" t="s">
        <v>50</v>
      </c>
      <c r="B39" t="s">
        <v>47</v>
      </c>
      <c r="C39">
        <f>LOOKUP($B$3,'Materiale constanter'!$C$1:$L$1,'Materiale constanter'!C30:L30)</f>
        <v>1500</v>
      </c>
    </row>
    <row r="40" spans="1:3" ht="15.75">
      <c r="A40" s="11" t="s">
        <v>51</v>
      </c>
      <c r="B40" t="s">
        <v>47</v>
      </c>
      <c r="C40">
        <f>LOOKUP($B$3,'Materiale constanter'!$C$1:$L$1,'Materiale constanter'!C31:L31)</f>
        <v>895.72</v>
      </c>
    </row>
    <row r="41" spans="1:3" ht="15.75">
      <c r="A41" s="11" t="s">
        <v>52</v>
      </c>
      <c r="C41">
        <f>LOOKUP($B$3,'Materiale constanter'!$C$1:$L$1,'Materiale constanter'!C32:L32)</f>
        <v>88.92</v>
      </c>
    </row>
    <row r="42" spans="1:3" ht="15.75">
      <c r="A42" s="11" t="s">
        <v>53</v>
      </c>
      <c r="C42">
        <f>LOOKUP($B$3,'Materiale constanter'!$C$1:$L$1,'Materiale constanter'!C33:L33)</f>
        <v>73.78</v>
      </c>
    </row>
    <row r="43" spans="1:3" ht="14.25">
      <c r="A43" s="6" t="s">
        <v>54</v>
      </c>
      <c r="B43" t="s">
        <v>96</v>
      </c>
      <c r="C43">
        <f>LOOKUP($B$3,'Materiale constanter'!$C$1:$L$1,'Materiale constanter'!C34:L34)</f>
        <v>7700</v>
      </c>
    </row>
    <row r="44" spans="1:3" ht="14.25">
      <c r="A44" s="6" t="s">
        <v>55</v>
      </c>
      <c r="C44">
        <f>LOOKUP($B$3,'Materiale constanter'!$C$1:$L$1,'Materiale constanter'!C35:L35)</f>
        <v>0.3892</v>
      </c>
    </row>
    <row r="45" spans="1:3" ht="15.75">
      <c r="A45" s="11" t="s">
        <v>56</v>
      </c>
      <c r="B45" t="s">
        <v>97</v>
      </c>
      <c r="C45">
        <f>LOOKUP($B$3,'Materiale constanter'!$C$1:$L$1,'Materiale constanter'!C36:L36)</f>
        <v>1.69555E-11</v>
      </c>
    </row>
    <row r="46" spans="1:3" ht="15.75">
      <c r="A46" s="11" t="s">
        <v>57</v>
      </c>
      <c r="B46" t="s">
        <v>97</v>
      </c>
      <c r="C46">
        <f>LOOKUP($B$3,'Materiale constanter'!$C$1:$L$1,'Materiale constanter'!C37:L37)</f>
        <v>-6.5991E-12</v>
      </c>
    </row>
    <row r="47" spans="1:3" ht="15.75">
      <c r="A47" s="11" t="s">
        <v>58</v>
      </c>
      <c r="B47" t="s">
        <v>97</v>
      </c>
      <c r="C47">
        <f>LOOKUP($B$3,'Materiale constanter'!$C$1:$L$1,'Materiale constanter'!C38:L38)</f>
        <v>-8.6119E-12</v>
      </c>
    </row>
    <row r="48" spans="1:3" ht="15.75">
      <c r="A48" s="11" t="s">
        <v>59</v>
      </c>
      <c r="B48" t="s">
        <v>97</v>
      </c>
      <c r="C48">
        <f>LOOKUP($B$3,'Materiale constanter'!$C$1:$L$1,'Materiale constanter'!C39:L39)</f>
        <v>2.32008E-11</v>
      </c>
    </row>
    <row r="49" spans="1:3" ht="15.75">
      <c r="A49" s="11" t="s">
        <v>60</v>
      </c>
      <c r="B49" t="s">
        <v>97</v>
      </c>
      <c r="C49">
        <f>LOOKUP($B$3,'Materiale constanter'!$C$1:$L$1,'Materiale constanter'!C40:L40)</f>
        <v>4.345370008256203E-11</v>
      </c>
    </row>
    <row r="50" spans="1:3" ht="15.75">
      <c r="A50" s="11" t="s">
        <v>61</v>
      </c>
      <c r="B50" t="s">
        <v>97</v>
      </c>
      <c r="C50">
        <f>LOOKUP($B$3,'Materiale constanter'!$C$1:$L$1,'Materiale constanter'!C41:L41)</f>
        <v>4.71092E-11</v>
      </c>
    </row>
    <row r="51" spans="1:3" ht="15.75">
      <c r="A51" s="11" t="s">
        <v>62</v>
      </c>
      <c r="B51" t="s">
        <v>97</v>
      </c>
      <c r="C51">
        <f>LOOKUP($B$3,'Materiale constanter'!$C$1:$L$1,'Materiale constanter'!C42:L42)</f>
        <v>1.51426E-11</v>
      </c>
    </row>
    <row r="52" spans="1:3" ht="15.75">
      <c r="A52" s="11" t="s">
        <v>63</v>
      </c>
      <c r="B52" t="s">
        <v>97</v>
      </c>
      <c r="C52">
        <f>LOOKUP($B$3,'Materiale constanter'!$C$1:$L$1,'Materiale constanter'!C43:L43)</f>
        <v>-8.4119E-12</v>
      </c>
    </row>
    <row r="53" spans="1:3" ht="15.75">
      <c r="A53" s="11" t="s">
        <v>64</v>
      </c>
      <c r="B53" t="s">
        <v>97</v>
      </c>
      <c r="C53">
        <f>LOOKUP($B$3,'Materiale constanter'!$C$1:$L$1,'Materiale constanter'!C44:L44)</f>
        <v>-4.0795E-12</v>
      </c>
    </row>
    <row r="54" spans="1:3" ht="15.75">
      <c r="A54" s="11" t="s">
        <v>65</v>
      </c>
      <c r="B54" t="s">
        <v>97</v>
      </c>
      <c r="C54">
        <f>LOOKUP($B$3,'Materiale constanter'!$C$1:$L$1,'Materiale constanter'!C45:L45)</f>
        <v>1.18692E-11</v>
      </c>
    </row>
    <row r="55" spans="1:3" ht="15.75">
      <c r="A55" s="11" t="s">
        <v>66</v>
      </c>
      <c r="B55" t="s">
        <v>97</v>
      </c>
      <c r="C55">
        <f>LOOKUP($B$3,'Materiale constanter'!$C$1:$L$1,'Materiale constanter'!C46:L46)</f>
        <v>2.7339584985099927E-11</v>
      </c>
    </row>
    <row r="56" spans="1:3" ht="15.75">
      <c r="A56" s="11" t="s">
        <v>67</v>
      </c>
      <c r="B56" t="s">
        <v>98</v>
      </c>
      <c r="C56">
        <f>LOOKUP($B$3,'Materiale constanter'!$C$1:$L$1,'Materiale constanter'!C47:L47)</f>
        <v>147391094711.82275</v>
      </c>
    </row>
    <row r="57" spans="1:3" ht="15.75">
      <c r="A57" s="11" t="s">
        <v>68</v>
      </c>
      <c r="B57" t="s">
        <v>98</v>
      </c>
      <c r="C57">
        <f>LOOKUP($B$3,'Materiale constanter'!$C$1:$L$1,'Materiale constanter'!C48:L48)</f>
        <v>104936542310.16872</v>
      </c>
    </row>
    <row r="58" spans="1:3" ht="15.75">
      <c r="A58" s="11" t="s">
        <v>69</v>
      </c>
      <c r="B58" t="s">
        <v>98</v>
      </c>
      <c r="C58">
        <f>LOOKUP($B$3,'Materiale constanter'!$C$1:$L$1,'Materiale constanter'!C49:L49)</f>
        <v>93661441729.15106</v>
      </c>
    </row>
    <row r="59" spans="1:3" ht="15.75">
      <c r="A59" s="11" t="s">
        <v>70</v>
      </c>
      <c r="B59" t="s">
        <v>98</v>
      </c>
      <c r="C59">
        <f>LOOKUP($B$3,'Materiale constanter'!$C$1:$L$1,'Materiale constanter'!C50:L50)</f>
        <v>112634000000</v>
      </c>
    </row>
    <row r="60" spans="1:3" ht="15.75">
      <c r="A60" s="11" t="s">
        <v>71</v>
      </c>
      <c r="B60" t="s">
        <v>98</v>
      </c>
      <c r="C60">
        <f>LOOKUP($B$3,'Materiale constanter'!$C$1:$L$1,'Materiale constanter'!C51:L51)</f>
        <v>23013000000</v>
      </c>
    </row>
    <row r="61" spans="1:3" ht="15.75">
      <c r="A61" s="11" t="s">
        <v>72</v>
      </c>
      <c r="B61" t="s">
        <v>98</v>
      </c>
      <c r="C61">
        <f>LOOKUP($B$3,'Materiale constanter'!$C$1:$L$1,'Materiale constanter'!C52:L52)</f>
        <v>21227276200.82702</v>
      </c>
    </row>
    <row r="62" spans="1:3" ht="15.75">
      <c r="A62" s="11" t="s">
        <v>73</v>
      </c>
      <c r="B62" t="s">
        <v>98</v>
      </c>
      <c r="C62">
        <f>LOOKUP($B$3,'Materiale constanter'!$C$1:$L$1,'Materiale constanter'!C53:L53)</f>
        <v>148570050440.7786</v>
      </c>
    </row>
    <row r="63" spans="1:3" ht="15.75">
      <c r="A63" s="11" t="s">
        <v>74</v>
      </c>
      <c r="B63" t="s">
        <v>98</v>
      </c>
      <c r="C63">
        <f>LOOKUP($B$3,'Materiale constanter'!$C$1:$L$1,'Materiale constanter'!C54:L54)</f>
        <v>106115317799.45738</v>
      </c>
    </row>
    <row r="64" spans="1:3" ht="15.75">
      <c r="A64" s="11" t="s">
        <v>75</v>
      </c>
      <c r="B64" t="s">
        <v>98</v>
      </c>
      <c r="C64">
        <f>LOOKUP($B$3,'Materiale constanter'!$C$1:$L$1,'Materiale constanter'!C55:L55)</f>
        <v>87536561835.3421</v>
      </c>
    </row>
    <row r="65" spans="1:3" ht="15.75">
      <c r="A65" s="11" t="s">
        <v>76</v>
      </c>
      <c r="B65" t="s">
        <v>98</v>
      </c>
      <c r="C65">
        <f>LOOKUP($B$3,'Materiale constanter'!$C$1:$L$1,'Materiale constanter'!C56:L56)</f>
        <v>144425000000</v>
      </c>
    </row>
    <row r="66" spans="1:3" ht="15.75">
      <c r="A66" s="11" t="s">
        <v>77</v>
      </c>
      <c r="B66" t="s">
        <v>98</v>
      </c>
      <c r="C66">
        <f>LOOKUP($B$3,'Materiale constanter'!$C$1:$L$1,'Materiale constanter'!C57:L57)</f>
        <v>36577000000</v>
      </c>
    </row>
    <row r="67" spans="1:3" ht="15.75">
      <c r="A67" s="11" t="s">
        <v>78</v>
      </c>
      <c r="B67" s="5" t="s">
        <v>79</v>
      </c>
      <c r="C67">
        <f>LOOKUP($B$3,'Materiale constanter'!$C$1:$L$1,'Materiale constanter'!C58:L58)</f>
        <v>58.977912771667015</v>
      </c>
    </row>
    <row r="68" spans="1:3" ht="15.75">
      <c r="A68" s="11" t="s">
        <v>80</v>
      </c>
      <c r="B68" s="5" t="s">
        <v>79</v>
      </c>
      <c r="C68">
        <f>LOOKUP($B$3,'Materiale constanter'!$C$1:$L$1,'Materiale constanter'!C59:L59)</f>
        <v>43.1019620013103</v>
      </c>
    </row>
    <row r="69" spans="1:3" ht="15.75">
      <c r="A69" s="11" t="s">
        <v>81</v>
      </c>
      <c r="B69" s="5" t="s">
        <v>79</v>
      </c>
      <c r="C69">
        <f>LOOKUP($B$3,'Materiale constanter'!$C$1:$L$1,'Materiale constanter'!C60:L60)</f>
        <v>66.0388572636139</v>
      </c>
    </row>
    <row r="70" spans="1:3" ht="15.75">
      <c r="A70" s="11" t="s">
        <v>82</v>
      </c>
      <c r="B70" s="5" t="s">
        <v>79</v>
      </c>
      <c r="C70">
        <f>LOOKUP($B$3,'Materiale constanter'!$C$1:$L$1,'Materiale constanter'!C61:L61)</f>
        <v>84.2516766083645</v>
      </c>
    </row>
    <row r="71" ht="12.75">
      <c r="A71" s="89"/>
    </row>
    <row r="72" ht="12.75">
      <c r="A72" s="94" t="s">
        <v>200</v>
      </c>
    </row>
    <row r="73" ht="12.75">
      <c r="A73" s="89"/>
    </row>
    <row r="74" spans="1:3" ht="12.75">
      <c r="A74" s="89" t="s">
        <v>260</v>
      </c>
      <c r="C74">
        <f>LOOKUP($B$3,'Materiale constanter'!$C$1:$L$1,'Materiale constanter'!C65:L65)</f>
        <v>2063.147803</v>
      </c>
    </row>
    <row r="75" spans="1:3" ht="12.75">
      <c r="A75" s="89" t="s">
        <v>259</v>
      </c>
      <c r="C75">
        <f>LOOKUP($B$3,'Materiale constanter'!$C$1:$L$1,'Materiale constanter'!C66:L66)</f>
        <v>-326.9383236</v>
      </c>
    </row>
    <row r="76" ht="12.75">
      <c r="A76" s="89"/>
    </row>
    <row r="77" spans="1:3" ht="12.75">
      <c r="A77" s="89" t="s">
        <v>283</v>
      </c>
      <c r="C77">
        <f>LOOKUP($B$3,'Materiale constanter'!$C$1:$L$1,'Materiale constanter'!C68:L68)</f>
        <v>53.844</v>
      </c>
    </row>
    <row r="78" spans="1:3" ht="12.75">
      <c r="A78" s="89" t="s">
        <v>284</v>
      </c>
      <c r="C78">
        <f>LOOKUP($B$3,'Materiale constanter'!$C$1:$L$1,'Materiale constanter'!C69:L69)</f>
        <v>819.72</v>
      </c>
    </row>
    <row r="79" ht="12.75">
      <c r="A79" s="89"/>
    </row>
    <row r="80" spans="1:3" ht="12.75">
      <c r="A80" s="89" t="s">
        <v>261</v>
      </c>
      <c r="C80">
        <f>LOOKUP($B$3,'Materiale constanter'!$C$1:$L$1,'Materiale constanter'!C72:L72)</f>
        <v>880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4"/>
  <dimension ref="A1:G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20.140625" style="0" customWidth="1"/>
    <col min="5" max="5" width="26.421875" style="0" customWidth="1"/>
    <col min="6" max="6" width="14.57421875" style="0" bestFit="1" customWidth="1"/>
  </cols>
  <sheetData>
    <row r="1" ht="12.75">
      <c r="A1" t="s">
        <v>4</v>
      </c>
    </row>
    <row r="2" spans="1:3" ht="12.75">
      <c r="A2" t="s">
        <v>123</v>
      </c>
      <c r="C2">
        <v>1</v>
      </c>
    </row>
    <row r="4" ht="12.75">
      <c r="F4" s="1"/>
    </row>
    <row r="5" spans="1:5" ht="12.75">
      <c r="A5" t="s">
        <v>101</v>
      </c>
      <c r="E5" t="s">
        <v>102</v>
      </c>
    </row>
    <row r="6" spans="1:6" ht="15.75">
      <c r="A6" s="6" t="s">
        <v>18</v>
      </c>
      <c r="B6" s="1">
        <f>Beregningsark!C12</f>
        <v>1795.99</v>
      </c>
      <c r="F6" s="1"/>
    </row>
    <row r="7" spans="1:7" ht="15.75">
      <c r="A7" s="8" t="s">
        <v>19</v>
      </c>
      <c r="B7" s="1">
        <f>Beregningsark!C13</f>
        <v>1802.77</v>
      </c>
      <c r="E7" t="s">
        <v>103</v>
      </c>
      <c r="F7" s="1">
        <f>1000000000000*(B7*0.000000000008854*PI()*((C28/2)^2))/C30</f>
        <v>7835.193721991294</v>
      </c>
      <c r="G7" t="s">
        <v>2</v>
      </c>
    </row>
    <row r="8" spans="1:7" ht="15.75">
      <c r="A8" s="11" t="s">
        <v>46</v>
      </c>
      <c r="B8">
        <f>Beregningsark!C36</f>
        <v>2011.08</v>
      </c>
      <c r="C8" t="s">
        <v>47</v>
      </c>
      <c r="E8" t="s">
        <v>104</v>
      </c>
      <c r="F8" s="1">
        <f>0.001*B8/C28</f>
        <v>80.44319999999999</v>
      </c>
      <c r="G8" t="s">
        <v>3</v>
      </c>
    </row>
    <row r="9" spans="1:7" ht="15.75">
      <c r="A9" s="11" t="s">
        <v>48</v>
      </c>
      <c r="B9">
        <f>Beregningsark!C37</f>
        <v>1952.94</v>
      </c>
      <c r="C9" t="s">
        <v>47</v>
      </c>
      <c r="E9" t="s">
        <v>5</v>
      </c>
      <c r="F9">
        <f>0.001*B14/C30</f>
        <v>2050.070270056</v>
      </c>
      <c r="G9" t="s">
        <v>3</v>
      </c>
    </row>
    <row r="10" spans="1:3" ht="15.75">
      <c r="A10" s="11" t="s">
        <v>49</v>
      </c>
      <c r="B10">
        <f>Beregningsark!C38</f>
        <v>1400</v>
      </c>
      <c r="C10" t="s">
        <v>47</v>
      </c>
    </row>
    <row r="11" spans="1:7" ht="15.75">
      <c r="A11" s="11" t="s">
        <v>50</v>
      </c>
      <c r="B11">
        <f>Beregningsark!C39</f>
        <v>1500</v>
      </c>
      <c r="C11" t="s">
        <v>47</v>
      </c>
      <c r="E11" t="s">
        <v>110</v>
      </c>
      <c r="F11" s="3">
        <f>1000000*(2*B18*C33*(C28/2))/C30</f>
        <v>0</v>
      </c>
      <c r="G11" t="s">
        <v>117</v>
      </c>
    </row>
    <row r="12" spans="1:7" ht="15.75">
      <c r="A12" s="11" t="s">
        <v>51</v>
      </c>
      <c r="B12">
        <f>Beregningsark!C40</f>
        <v>895.72</v>
      </c>
      <c r="C12" t="s">
        <v>47</v>
      </c>
      <c r="E12" t="s">
        <v>111</v>
      </c>
      <c r="F12" s="20">
        <f>1000000*B17*C33</f>
        <v>0</v>
      </c>
      <c r="G12" t="s">
        <v>117</v>
      </c>
    </row>
    <row r="14" spans="1:7" ht="12.75">
      <c r="A14" s="11" t="s">
        <v>100</v>
      </c>
      <c r="B14" s="1">
        <f>Beregningsark!C74+(Beregningsark!C75/(Discs!C28/Discs!C30))</f>
        <v>2050.070270056</v>
      </c>
      <c r="C14" t="s">
        <v>47</v>
      </c>
      <c r="E14" t="s">
        <v>113</v>
      </c>
      <c r="F14" s="3">
        <f>(B20*C37)/(PI()*C28)</f>
        <v>0</v>
      </c>
      <c r="G14" t="s">
        <v>114</v>
      </c>
    </row>
    <row r="15" spans="1:7" ht="12.75">
      <c r="A15" s="11" t="s">
        <v>140</v>
      </c>
      <c r="B15">
        <f>Beregningsark!C80</f>
        <v>880</v>
      </c>
      <c r="C15" t="s">
        <v>47</v>
      </c>
      <c r="E15" t="s">
        <v>112</v>
      </c>
      <c r="F15" s="3">
        <f>(B21*C38*C30)/(PI()*(C28/2)^2)</f>
        <v>0</v>
      </c>
      <c r="G15" t="s">
        <v>114</v>
      </c>
    </row>
    <row r="16" spans="1:3" ht="12.75">
      <c r="A16" s="11" t="s">
        <v>141</v>
      </c>
      <c r="B16">
        <f>Beregningsark!C80</f>
        <v>880</v>
      </c>
      <c r="C16" t="s">
        <v>47</v>
      </c>
    </row>
    <row r="17" spans="1:3" ht="15.75">
      <c r="A17" s="11" t="s">
        <v>32</v>
      </c>
      <c r="B17" s="4">
        <f>Beregningsark!C24</f>
        <v>4.25E-10</v>
      </c>
      <c r="C17" t="s">
        <v>31</v>
      </c>
    </row>
    <row r="18" spans="1:3" ht="15.75">
      <c r="A18" s="11" t="s">
        <v>30</v>
      </c>
      <c r="B18" s="4">
        <f>Beregningsark!C23</f>
        <v>-1.699915E-10</v>
      </c>
      <c r="C18" t="s">
        <v>31</v>
      </c>
    </row>
    <row r="19" spans="1:3" ht="15.75">
      <c r="A19" s="11" t="s">
        <v>33</v>
      </c>
      <c r="B19" s="4">
        <f>Beregningsark!C24</f>
        <v>4.25E-10</v>
      </c>
      <c r="C19" t="s">
        <v>31</v>
      </c>
    </row>
    <row r="20" spans="1:3" ht="15.75">
      <c r="A20" s="11" t="s">
        <v>35</v>
      </c>
      <c r="B20" s="18">
        <f>Beregningsark!C27</f>
        <v>-0.0106645</v>
      </c>
      <c r="C20" t="s">
        <v>36</v>
      </c>
    </row>
    <row r="21" spans="1:3" ht="15.75">
      <c r="A21" s="11" t="s">
        <v>37</v>
      </c>
      <c r="B21" s="18">
        <f>Beregningsark!C28</f>
        <v>0.0266625</v>
      </c>
      <c r="C21" t="s">
        <v>36</v>
      </c>
    </row>
    <row r="22" spans="1:3" ht="15.75">
      <c r="A22" s="11" t="s">
        <v>38</v>
      </c>
      <c r="B22" s="18">
        <f>Beregningsark!C29</f>
        <v>0.0373269</v>
      </c>
      <c r="C22" t="s">
        <v>36</v>
      </c>
    </row>
    <row r="25" ht="12.75">
      <c r="A25" s="19" t="s">
        <v>105</v>
      </c>
    </row>
    <row r="27" ht="12.75">
      <c r="A27" t="s">
        <v>108</v>
      </c>
    </row>
    <row r="28" spans="2:4" ht="12.75">
      <c r="B28" t="s">
        <v>124</v>
      </c>
      <c r="C28" s="17">
        <f>Calculator!D12/1000</f>
        <v>0.025</v>
      </c>
      <c r="D28" t="s">
        <v>116</v>
      </c>
    </row>
    <row r="29" spans="2:4" ht="12.75">
      <c r="B29" t="s">
        <v>125</v>
      </c>
      <c r="C29" s="17">
        <f>Calculator!D13/1000</f>
        <v>0</v>
      </c>
      <c r="D29" t="s">
        <v>116</v>
      </c>
    </row>
    <row r="30" spans="2:4" ht="12.75">
      <c r="B30" t="s">
        <v>126</v>
      </c>
      <c r="C30" s="17">
        <f>Calculator!D14/1000</f>
        <v>0.001</v>
      </c>
      <c r="D30" t="s">
        <v>116</v>
      </c>
    </row>
    <row r="32" ht="12.75">
      <c r="A32" t="s">
        <v>109</v>
      </c>
    </row>
    <row r="33" spans="2:4" ht="12.75">
      <c r="B33" t="s">
        <v>106</v>
      </c>
      <c r="C33">
        <f>Calculator!D17</f>
        <v>0</v>
      </c>
      <c r="D33" t="s">
        <v>114</v>
      </c>
    </row>
    <row r="36" ht="12.75">
      <c r="A36" t="s">
        <v>107</v>
      </c>
    </row>
    <row r="37" spans="2:4" ht="12.75">
      <c r="B37" t="s">
        <v>118</v>
      </c>
      <c r="C37">
        <f>Calculator!D20</f>
        <v>0</v>
      </c>
      <c r="D37" t="s">
        <v>115</v>
      </c>
    </row>
    <row r="38" spans="2:4" ht="12.75">
      <c r="B38" t="s">
        <v>119</v>
      </c>
      <c r="C38">
        <f>Calculator!D21</f>
        <v>0</v>
      </c>
      <c r="D38" t="s">
        <v>115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5"/>
  <dimension ref="A1:G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25.00390625" style="0" customWidth="1"/>
    <col min="5" max="5" width="24.421875" style="0" customWidth="1"/>
    <col min="6" max="6" width="9.57421875" style="0" bestFit="1" customWidth="1"/>
  </cols>
  <sheetData>
    <row r="1" ht="12.75">
      <c r="A1" t="s">
        <v>163</v>
      </c>
    </row>
    <row r="2" spans="1:3" ht="12.75">
      <c r="A2" t="s">
        <v>123</v>
      </c>
      <c r="C2">
        <v>2</v>
      </c>
    </row>
    <row r="4" ht="12.75">
      <c r="F4" s="1"/>
    </row>
    <row r="5" spans="1:6" ht="12.75">
      <c r="A5" t="s">
        <v>101</v>
      </c>
      <c r="E5" t="s">
        <v>102</v>
      </c>
      <c r="F5" s="2"/>
    </row>
    <row r="6" spans="1:6" ht="15.75">
      <c r="A6" s="6" t="s">
        <v>18</v>
      </c>
      <c r="B6" s="1">
        <f>Beregningsark!C12</f>
        <v>1795.99</v>
      </c>
      <c r="F6" s="2"/>
    </row>
    <row r="7" spans="1:7" ht="15.75">
      <c r="A7" s="8" t="s">
        <v>19</v>
      </c>
      <c r="B7" s="1">
        <f>Beregningsark!C13</f>
        <v>1802.77</v>
      </c>
      <c r="E7" t="s">
        <v>103</v>
      </c>
      <c r="F7" s="1">
        <f>1000000000000*(B7*0.000000000008854*PI()*((C28^2)-(C29^2)))/(4*C30)</f>
        <v>7835.193721991294</v>
      </c>
      <c r="G7" t="s">
        <v>2</v>
      </c>
    </row>
    <row r="8" spans="1:7" ht="15.75">
      <c r="A8" s="11" t="s">
        <v>46</v>
      </c>
      <c r="B8">
        <f>Beregningsark!C36</f>
        <v>2011.08</v>
      </c>
      <c r="C8" t="s">
        <v>47</v>
      </c>
      <c r="E8" t="s">
        <v>269</v>
      </c>
      <c r="F8" s="1">
        <f>0.001*B10/((C28-C29)/2)</f>
        <v>112</v>
      </c>
      <c r="G8" t="s">
        <v>3</v>
      </c>
    </row>
    <row r="9" spans="1:7" ht="15.75">
      <c r="A9" s="11" t="s">
        <v>48</v>
      </c>
      <c r="B9">
        <f>Beregningsark!C37</f>
        <v>1952.94</v>
      </c>
      <c r="C9" t="s">
        <v>47</v>
      </c>
      <c r="E9" t="s">
        <v>5</v>
      </c>
      <c r="F9" s="1">
        <f>0.001*B14/C30</f>
        <v>2050.070270056</v>
      </c>
      <c r="G9" t="s">
        <v>3</v>
      </c>
    </row>
    <row r="10" spans="1:7" ht="15.75">
      <c r="A10" s="11" t="s">
        <v>49</v>
      </c>
      <c r="B10">
        <f>Beregningsark!C38</f>
        <v>1400</v>
      </c>
      <c r="C10" t="s">
        <v>47</v>
      </c>
      <c r="E10" t="s">
        <v>120</v>
      </c>
      <c r="F10" s="1" t="e">
        <f>0.001*B16/((C28+C29)/2)</f>
        <v>#DIV/0!</v>
      </c>
      <c r="G10" t="s">
        <v>3</v>
      </c>
    </row>
    <row r="11" spans="1:7" ht="15.75">
      <c r="A11" s="11" t="s">
        <v>50</v>
      </c>
      <c r="B11">
        <f>Beregningsark!C39</f>
        <v>1500</v>
      </c>
      <c r="C11" t="s">
        <v>47</v>
      </c>
      <c r="E11" t="s">
        <v>110</v>
      </c>
      <c r="F11" s="3">
        <f>1000000*(B18*C33*(C28-C29))/(2*C30)</f>
        <v>0</v>
      </c>
      <c r="G11" t="s">
        <v>117</v>
      </c>
    </row>
    <row r="12" spans="1:7" ht="15.75">
      <c r="A12" s="11" t="s">
        <v>51</v>
      </c>
      <c r="B12">
        <f>Beregningsark!C40</f>
        <v>895.72</v>
      </c>
      <c r="C12" t="s">
        <v>47</v>
      </c>
      <c r="E12" t="s">
        <v>111</v>
      </c>
      <c r="F12" s="20">
        <f>1000000*B17*C33</f>
        <v>0</v>
      </c>
      <c r="G12" t="s">
        <v>117</v>
      </c>
    </row>
    <row r="14" spans="1:7" ht="12.75">
      <c r="A14" s="11" t="s">
        <v>100</v>
      </c>
      <c r="B14" s="1">
        <f>Beregningsark!C74+(Beregningsark!C75/(Discs!C28/Discs!C30))</f>
        <v>2050.070270056</v>
      </c>
      <c r="C14" t="s">
        <v>47</v>
      </c>
      <c r="E14" t="s">
        <v>113</v>
      </c>
      <c r="F14" s="3">
        <f>(B20*C37)/(2*PI()*(C28-C29))</f>
        <v>0</v>
      </c>
      <c r="G14" t="s">
        <v>114</v>
      </c>
    </row>
    <row r="15" spans="1:7" ht="12.75">
      <c r="A15" s="11" t="s">
        <v>140</v>
      </c>
      <c r="B15">
        <f>Beregningsark!C80</f>
        <v>880</v>
      </c>
      <c r="C15" t="s">
        <v>47</v>
      </c>
      <c r="E15" t="s">
        <v>112</v>
      </c>
      <c r="F15" s="3">
        <f>(4*B21*C38*C30)/(PI()*(C28^2-C29^2))</f>
        <v>0</v>
      </c>
      <c r="G15" t="s">
        <v>114</v>
      </c>
    </row>
    <row r="16" spans="1:3" ht="12.75">
      <c r="A16" s="11" t="s">
        <v>141</v>
      </c>
      <c r="B16" s="1" t="e">
        <f>(Beregningsark!C77*(Ring!C28/Ring!C29))+Beregningsark!C78</f>
        <v>#DIV/0!</v>
      </c>
      <c r="C16" t="s">
        <v>47</v>
      </c>
    </row>
    <row r="17" spans="1:3" ht="15.75">
      <c r="A17" s="11" t="s">
        <v>32</v>
      </c>
      <c r="B17" s="4">
        <f>Beregningsark!C24</f>
        <v>4.25E-10</v>
      </c>
      <c r="C17" t="s">
        <v>31</v>
      </c>
    </row>
    <row r="18" spans="1:3" ht="15.75">
      <c r="A18" s="11" t="s">
        <v>30</v>
      </c>
      <c r="B18" s="4">
        <f>Beregningsark!C23</f>
        <v>-1.699915E-10</v>
      </c>
      <c r="C18" t="s">
        <v>31</v>
      </c>
    </row>
    <row r="19" spans="1:3" ht="15.75">
      <c r="A19" s="11" t="s">
        <v>33</v>
      </c>
      <c r="B19" s="4">
        <f>Beregningsark!C24</f>
        <v>4.25E-10</v>
      </c>
      <c r="C19" t="s">
        <v>31</v>
      </c>
    </row>
    <row r="20" spans="1:3" ht="15.75">
      <c r="A20" s="11" t="s">
        <v>35</v>
      </c>
      <c r="B20" s="18">
        <f>Beregningsark!C27</f>
        <v>-0.0106645</v>
      </c>
      <c r="C20" t="s">
        <v>36</v>
      </c>
    </row>
    <row r="21" spans="1:3" ht="15.75">
      <c r="A21" s="11" t="s">
        <v>37</v>
      </c>
      <c r="B21" s="18">
        <f>Beregningsark!C28</f>
        <v>0.0266625</v>
      </c>
      <c r="C21" t="s">
        <v>36</v>
      </c>
    </row>
    <row r="22" spans="1:3" ht="15.75">
      <c r="A22" s="11" t="s">
        <v>38</v>
      </c>
      <c r="B22" s="18">
        <f>Beregningsark!C29</f>
        <v>0.0373269</v>
      </c>
      <c r="C22" t="s">
        <v>36</v>
      </c>
    </row>
    <row r="25" ht="12.75">
      <c r="A25" s="19" t="s">
        <v>105</v>
      </c>
    </row>
    <row r="27" ht="12.75">
      <c r="A27" t="s">
        <v>108</v>
      </c>
    </row>
    <row r="28" spans="2:4" ht="12.75">
      <c r="B28" t="s">
        <v>124</v>
      </c>
      <c r="C28" s="17">
        <f>Calculator!D12/1000</f>
        <v>0.025</v>
      </c>
      <c r="D28" t="s">
        <v>116</v>
      </c>
    </row>
    <row r="29" spans="2:4" ht="12.75">
      <c r="B29" t="s">
        <v>125</v>
      </c>
      <c r="C29" s="17">
        <f>Calculator!D13/1000</f>
        <v>0</v>
      </c>
      <c r="D29" t="s">
        <v>116</v>
      </c>
    </row>
    <row r="30" spans="2:4" ht="12.75">
      <c r="B30" t="s">
        <v>126</v>
      </c>
      <c r="C30" s="17">
        <f>Calculator!D14/1000</f>
        <v>0.001</v>
      </c>
      <c r="D30" t="s">
        <v>116</v>
      </c>
    </row>
    <row r="32" ht="12.75">
      <c r="A32" t="s">
        <v>109</v>
      </c>
    </row>
    <row r="33" spans="2:4" ht="12.75">
      <c r="B33" t="s">
        <v>106</v>
      </c>
      <c r="C33">
        <f>Calculator!D17</f>
        <v>0</v>
      </c>
      <c r="D33" t="s">
        <v>114</v>
      </c>
    </row>
    <row r="36" ht="12.75">
      <c r="A36" t="s">
        <v>107</v>
      </c>
    </row>
    <row r="37" spans="2:4" ht="12.75">
      <c r="B37" t="s">
        <v>118</v>
      </c>
      <c r="C37">
        <f>Calculator!D20</f>
        <v>0</v>
      </c>
      <c r="D37" t="s">
        <v>115</v>
      </c>
    </row>
    <row r="38" spans="2:4" ht="12.75">
      <c r="B38" t="s">
        <v>119</v>
      </c>
      <c r="C38">
        <f>Calculator!D21</f>
        <v>0</v>
      </c>
      <c r="D38" t="s">
        <v>115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6"/>
  <dimension ref="A1:G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25.00390625" style="0" customWidth="1"/>
    <col min="5" max="5" width="22.421875" style="0" bestFit="1" customWidth="1"/>
    <col min="6" max="6" width="14.57421875" style="0" bestFit="1" customWidth="1"/>
  </cols>
  <sheetData>
    <row r="1" ht="12.75">
      <c r="A1" t="s">
        <v>1</v>
      </c>
    </row>
    <row r="2" spans="1:3" ht="12.75">
      <c r="A2" t="s">
        <v>123</v>
      </c>
      <c r="C2">
        <v>3</v>
      </c>
    </row>
    <row r="4" ht="12.75">
      <c r="F4" s="1"/>
    </row>
    <row r="5" spans="1:5" ht="12.75">
      <c r="A5" t="s">
        <v>101</v>
      </c>
      <c r="E5" t="s">
        <v>102</v>
      </c>
    </row>
    <row r="6" spans="1:6" ht="15.75">
      <c r="A6" s="6" t="s">
        <v>18</v>
      </c>
      <c r="B6" s="1">
        <f>Beregningsark!C12</f>
        <v>1795.99</v>
      </c>
      <c r="F6" s="1"/>
    </row>
    <row r="7" spans="1:7" ht="15.75">
      <c r="A7" s="8" t="s">
        <v>19</v>
      </c>
      <c r="B7" s="1">
        <f>Beregningsark!C13</f>
        <v>1802.77</v>
      </c>
      <c r="E7" t="s">
        <v>103</v>
      </c>
      <c r="F7" s="1" t="e">
        <f>1000000000000*((2*B7*0.000000000008854*PI()*C30)/(LN(C28/C29)))</f>
        <v>#DIV/0!</v>
      </c>
      <c r="G7" t="s">
        <v>2</v>
      </c>
    </row>
    <row r="8" spans="1:6" ht="15.75">
      <c r="A8" s="11" t="s">
        <v>46</v>
      </c>
      <c r="B8">
        <f>Beregningsark!C36</f>
        <v>2011.08</v>
      </c>
      <c r="C8" t="s">
        <v>47</v>
      </c>
      <c r="E8" t="s">
        <v>104</v>
      </c>
      <c r="F8" s="1"/>
    </row>
    <row r="9" spans="1:7" ht="15.75">
      <c r="A9" s="11" t="s">
        <v>48</v>
      </c>
      <c r="B9">
        <f>Beregningsark!C37</f>
        <v>1952.94</v>
      </c>
      <c r="C9" t="s">
        <v>47</v>
      </c>
      <c r="E9" t="s">
        <v>5</v>
      </c>
      <c r="F9" s="1">
        <f>0.001*2*B14/(C28-C29)</f>
        <v>164.00562160447998</v>
      </c>
      <c r="G9" t="s">
        <v>3</v>
      </c>
    </row>
    <row r="10" spans="1:7" ht="15.75">
      <c r="A10" s="11" t="s">
        <v>49</v>
      </c>
      <c r="B10">
        <f>Beregningsark!C38</f>
        <v>1400</v>
      </c>
      <c r="C10" t="s">
        <v>47</v>
      </c>
      <c r="E10" t="s">
        <v>121</v>
      </c>
      <c r="F10" s="1">
        <f>0.001*B10/C30</f>
        <v>1400</v>
      </c>
      <c r="G10" t="s">
        <v>3</v>
      </c>
    </row>
    <row r="11" spans="1:7" ht="15.75">
      <c r="A11" s="11" t="s">
        <v>50</v>
      </c>
      <c r="B11">
        <f>Beregningsark!C39</f>
        <v>1500</v>
      </c>
      <c r="C11" t="s">
        <v>47</v>
      </c>
      <c r="E11" t="s">
        <v>120</v>
      </c>
      <c r="F11" s="1">
        <f>0.001*(2*B15)/(C28+C29)</f>
        <v>70.39999999999999</v>
      </c>
      <c r="G11" t="s">
        <v>3</v>
      </c>
    </row>
    <row r="12" spans="1:7" ht="15.75">
      <c r="A12" s="11" t="s">
        <v>51</v>
      </c>
      <c r="B12">
        <f>Beregningsark!C40</f>
        <v>895.72</v>
      </c>
      <c r="C12" t="s">
        <v>47</v>
      </c>
      <c r="E12" t="s">
        <v>110</v>
      </c>
      <c r="F12" s="21">
        <f>1000000*B17*C33</f>
        <v>0</v>
      </c>
      <c r="G12" t="s">
        <v>117</v>
      </c>
    </row>
    <row r="13" spans="5:7" ht="12.75">
      <c r="E13" t="s">
        <v>111</v>
      </c>
      <c r="F13" s="21">
        <f>1000000*(2*B18*C33*C30)/(C28-C29)</f>
        <v>0</v>
      </c>
      <c r="G13" t="s">
        <v>117</v>
      </c>
    </row>
    <row r="14" spans="1:3" ht="12.75">
      <c r="A14" s="11" t="s">
        <v>100</v>
      </c>
      <c r="B14" s="1">
        <f>Beregningsark!C74+(Beregningsark!C75/(Discs!C28/Discs!C30))</f>
        <v>2050.070270056</v>
      </c>
      <c r="C14" t="s">
        <v>47</v>
      </c>
    </row>
    <row r="15" spans="1:7" ht="12.75">
      <c r="A15" s="11" t="s">
        <v>140</v>
      </c>
      <c r="B15">
        <f>Beregningsark!C80</f>
        <v>880</v>
      </c>
      <c r="C15" t="s">
        <v>47</v>
      </c>
      <c r="E15" t="s">
        <v>113</v>
      </c>
      <c r="F15" s="3">
        <f>(B20*C37*(C28-C29))/(2*(C28^2-C29^2))</f>
        <v>0</v>
      </c>
      <c r="G15" t="s">
        <v>114</v>
      </c>
    </row>
    <row r="16" spans="1:7" ht="12.75">
      <c r="A16" s="11" t="s">
        <v>141</v>
      </c>
      <c r="B16">
        <f>Beregningsark!C80</f>
        <v>880</v>
      </c>
      <c r="C16" t="s">
        <v>47</v>
      </c>
      <c r="E16" t="s">
        <v>112</v>
      </c>
      <c r="F16" s="3">
        <f>(B21*C38*(C28-C29))/(2*(C28^2-C29^2))</f>
        <v>0</v>
      </c>
      <c r="G16" t="s">
        <v>114</v>
      </c>
    </row>
    <row r="17" spans="1:3" ht="15.75">
      <c r="A17" s="11" t="s">
        <v>32</v>
      </c>
      <c r="B17" s="4">
        <f>Beregningsark!C24</f>
        <v>4.25E-10</v>
      </c>
      <c r="C17" t="s">
        <v>31</v>
      </c>
    </row>
    <row r="18" spans="1:3" ht="15.75">
      <c r="A18" s="11" t="s">
        <v>30</v>
      </c>
      <c r="B18" s="4">
        <f>Beregningsark!C23</f>
        <v>-1.699915E-10</v>
      </c>
      <c r="C18" t="s">
        <v>31</v>
      </c>
    </row>
    <row r="19" spans="1:3" ht="15.75">
      <c r="A19" s="11" t="s">
        <v>33</v>
      </c>
      <c r="B19" s="4">
        <f>Beregningsark!C24</f>
        <v>4.25E-10</v>
      </c>
      <c r="C19" t="s">
        <v>31</v>
      </c>
    </row>
    <row r="20" spans="1:7" ht="15.75">
      <c r="A20" s="11" t="s">
        <v>35</v>
      </c>
      <c r="B20" s="18">
        <f>Beregningsark!C27</f>
        <v>-0.0106645</v>
      </c>
      <c r="C20" t="s">
        <v>36</v>
      </c>
      <c r="G20" s="3"/>
    </row>
    <row r="21" spans="1:7" ht="15.75">
      <c r="A21" s="11" t="s">
        <v>37</v>
      </c>
      <c r="B21" s="18">
        <f>Beregningsark!C28</f>
        <v>0.0266625</v>
      </c>
      <c r="C21" t="s">
        <v>36</v>
      </c>
      <c r="G21" s="3"/>
    </row>
    <row r="22" spans="1:3" ht="15.75">
      <c r="A22" s="11" t="s">
        <v>38</v>
      </c>
      <c r="B22" s="18">
        <f>Beregningsark!C29</f>
        <v>0.0373269</v>
      </c>
      <c r="C22" t="s">
        <v>36</v>
      </c>
    </row>
    <row r="25" ht="12.75">
      <c r="A25" s="19" t="s">
        <v>105</v>
      </c>
    </row>
    <row r="27" ht="12.75">
      <c r="A27" t="s">
        <v>108</v>
      </c>
    </row>
    <row r="28" spans="2:4" ht="12.75">
      <c r="B28" t="s">
        <v>124</v>
      </c>
      <c r="C28" s="17">
        <f>Calculator!D12/1000</f>
        <v>0.025</v>
      </c>
      <c r="D28" t="s">
        <v>116</v>
      </c>
    </row>
    <row r="29" spans="2:4" ht="12.75">
      <c r="B29" t="s">
        <v>125</v>
      </c>
      <c r="C29" s="17">
        <f>Calculator!D13/1000</f>
        <v>0</v>
      </c>
      <c r="D29" t="s">
        <v>116</v>
      </c>
    </row>
    <row r="30" spans="2:4" ht="12.75">
      <c r="B30" t="s">
        <v>126</v>
      </c>
      <c r="C30" s="17">
        <f>Calculator!D14/1000</f>
        <v>0.001</v>
      </c>
      <c r="D30" t="s">
        <v>116</v>
      </c>
    </row>
    <row r="32" ht="12.75">
      <c r="A32" t="s">
        <v>109</v>
      </c>
    </row>
    <row r="33" spans="2:4" ht="12.75">
      <c r="B33" t="s">
        <v>106</v>
      </c>
      <c r="C33">
        <f>Calculator!D17</f>
        <v>0</v>
      </c>
      <c r="D33" t="s">
        <v>114</v>
      </c>
    </row>
    <row r="36" ht="12.75">
      <c r="A36" t="s">
        <v>107</v>
      </c>
    </row>
    <row r="37" spans="2:4" ht="12.75">
      <c r="B37" t="s">
        <v>118</v>
      </c>
      <c r="C37">
        <f>Calculator!D20</f>
        <v>0</v>
      </c>
      <c r="D37" t="s">
        <v>115</v>
      </c>
    </row>
    <row r="38" spans="2:4" ht="12.75">
      <c r="B38" t="s">
        <v>119</v>
      </c>
      <c r="C38">
        <f>Calculator!D21</f>
        <v>0</v>
      </c>
      <c r="D38" t="s">
        <v>115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7"/>
  <dimension ref="A1:G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25.00390625" style="0" customWidth="1"/>
    <col min="5" max="5" width="22.421875" style="0" bestFit="1" customWidth="1"/>
    <col min="6" max="6" width="14.57421875" style="0" bestFit="1" customWidth="1"/>
  </cols>
  <sheetData>
    <row r="1" ht="12.75">
      <c r="A1" t="s">
        <v>164</v>
      </c>
    </row>
    <row r="2" spans="1:3" ht="12.75">
      <c r="A2" t="s">
        <v>123</v>
      </c>
      <c r="C2">
        <v>4</v>
      </c>
    </row>
    <row r="4" ht="12.75">
      <c r="F4" s="1"/>
    </row>
    <row r="5" spans="1:6" ht="12.75">
      <c r="A5" t="s">
        <v>101</v>
      </c>
      <c r="E5" t="s">
        <v>102</v>
      </c>
      <c r="F5" s="1"/>
    </row>
    <row r="6" spans="1:6" ht="15.75">
      <c r="A6" s="6" t="s">
        <v>18</v>
      </c>
      <c r="B6" s="1">
        <f>Beregningsark!C12</f>
        <v>1795.99</v>
      </c>
      <c r="F6" s="1"/>
    </row>
    <row r="7" spans="1:7" ht="15.75">
      <c r="A7" s="8" t="s">
        <v>19</v>
      </c>
      <c r="B7" s="1">
        <f>Beregningsark!C13</f>
        <v>1802.77</v>
      </c>
      <c r="E7" t="s">
        <v>103</v>
      </c>
      <c r="F7" s="1">
        <f>1000000000000*(B7*0.000000000008854*C28*C29)/C30</f>
        <v>0</v>
      </c>
      <c r="G7" t="s">
        <v>2</v>
      </c>
    </row>
    <row r="8" spans="1:7" ht="15.75">
      <c r="A8" s="11" t="s">
        <v>46</v>
      </c>
      <c r="B8">
        <f>Beregningsark!C36</f>
        <v>2011.08</v>
      </c>
      <c r="C8" t="s">
        <v>47</v>
      </c>
      <c r="E8" t="s">
        <v>127</v>
      </c>
      <c r="F8" s="1">
        <f>0.001*B10/C28</f>
        <v>56</v>
      </c>
      <c r="G8" t="s">
        <v>3</v>
      </c>
    </row>
    <row r="9" spans="1:7" ht="15.75">
      <c r="A9" s="11" t="s">
        <v>48</v>
      </c>
      <c r="B9">
        <f>Beregningsark!C37</f>
        <v>1952.94</v>
      </c>
      <c r="C9" t="s">
        <v>47</v>
      </c>
      <c r="E9" t="s">
        <v>128</v>
      </c>
      <c r="F9" s="1" t="e">
        <f>0.001*B10/C29</f>
        <v>#DIV/0!</v>
      </c>
      <c r="G9" t="s">
        <v>3</v>
      </c>
    </row>
    <row r="10" spans="1:7" ht="15.75">
      <c r="A10" s="11" t="s">
        <v>49</v>
      </c>
      <c r="B10">
        <f>Beregningsark!C38</f>
        <v>1400</v>
      </c>
      <c r="C10" t="s">
        <v>47</v>
      </c>
      <c r="E10" t="s">
        <v>5</v>
      </c>
      <c r="F10" s="1">
        <f>0.001*B14/C30</f>
        <v>2050.070270056</v>
      </c>
      <c r="G10" t="s">
        <v>3</v>
      </c>
    </row>
    <row r="11" spans="1:7" ht="15.75">
      <c r="A11" s="11" t="s">
        <v>50</v>
      </c>
      <c r="B11">
        <f>Beregningsark!C39</f>
        <v>1500</v>
      </c>
      <c r="C11" t="s">
        <v>47</v>
      </c>
      <c r="E11" t="s">
        <v>129</v>
      </c>
      <c r="F11" s="18">
        <f>1000000*(B18*C28*C33)/C30</f>
        <v>0</v>
      </c>
      <c r="G11" t="s">
        <v>117</v>
      </c>
    </row>
    <row r="12" spans="1:7" ht="15.75">
      <c r="A12" s="11" t="s">
        <v>51</v>
      </c>
      <c r="B12">
        <f>Beregningsark!C40</f>
        <v>895.72</v>
      </c>
      <c r="C12" t="s">
        <v>47</v>
      </c>
      <c r="E12" t="s">
        <v>130</v>
      </c>
      <c r="F12" s="18">
        <f>1000000*(B18*C29*C33)/C30</f>
        <v>0</v>
      </c>
      <c r="G12" t="s">
        <v>117</v>
      </c>
    </row>
    <row r="13" spans="5:7" ht="12.75">
      <c r="E13" t="s">
        <v>111</v>
      </c>
      <c r="F13" s="18">
        <f>1000000*B17*C33</f>
        <v>0</v>
      </c>
      <c r="G13" t="s">
        <v>117</v>
      </c>
    </row>
    <row r="14" spans="1:7" ht="12.75">
      <c r="A14" s="11" t="s">
        <v>100</v>
      </c>
      <c r="B14" s="1">
        <f>Beregningsark!C74+(Beregningsark!C75/(Discs!C28/Discs!C30))</f>
        <v>2050.070270056</v>
      </c>
      <c r="C14" t="s">
        <v>47</v>
      </c>
      <c r="E14" t="s">
        <v>131</v>
      </c>
      <c r="F14" s="18" t="e">
        <f>B20*C37/C29</f>
        <v>#DIV/0!</v>
      </c>
      <c r="G14" t="s">
        <v>133</v>
      </c>
    </row>
    <row r="15" spans="1:7" ht="12.75">
      <c r="A15" s="11" t="s">
        <v>140</v>
      </c>
      <c r="B15">
        <f>Beregningsark!C80</f>
        <v>880</v>
      </c>
      <c r="C15" t="s">
        <v>47</v>
      </c>
      <c r="E15" t="s">
        <v>132</v>
      </c>
      <c r="F15" s="18">
        <f>B20*C37/C28</f>
        <v>0</v>
      </c>
      <c r="G15" t="s">
        <v>133</v>
      </c>
    </row>
    <row r="16" spans="1:7" ht="12.75">
      <c r="A16" s="11" t="s">
        <v>141</v>
      </c>
      <c r="B16">
        <f>Beregningsark!C80</f>
        <v>880</v>
      </c>
      <c r="C16" t="s">
        <v>47</v>
      </c>
      <c r="E16" t="s">
        <v>112</v>
      </c>
      <c r="F16" s="18" t="e">
        <f>(B21*C38*C30)/(C28*C29)</f>
        <v>#DIV/0!</v>
      </c>
      <c r="G16" t="s">
        <v>133</v>
      </c>
    </row>
    <row r="17" spans="1:3" ht="15.75">
      <c r="A17" s="11" t="s">
        <v>32</v>
      </c>
      <c r="B17" s="4">
        <f>Beregningsark!C24</f>
        <v>4.25E-10</v>
      </c>
      <c r="C17" t="s">
        <v>31</v>
      </c>
    </row>
    <row r="18" spans="1:3" ht="15.75">
      <c r="A18" s="11" t="s">
        <v>30</v>
      </c>
      <c r="B18" s="4">
        <f>Beregningsark!C23</f>
        <v>-1.699915E-10</v>
      </c>
      <c r="C18" t="s">
        <v>31</v>
      </c>
    </row>
    <row r="19" spans="1:3" ht="15.75">
      <c r="A19" s="11" t="s">
        <v>33</v>
      </c>
      <c r="B19" s="4">
        <f>Beregningsark!C24</f>
        <v>4.25E-10</v>
      </c>
      <c r="C19" t="s">
        <v>31</v>
      </c>
    </row>
    <row r="20" spans="1:3" ht="15.75">
      <c r="A20" s="11" t="s">
        <v>35</v>
      </c>
      <c r="B20" s="18">
        <f>Beregningsark!C27</f>
        <v>-0.0106645</v>
      </c>
      <c r="C20" t="s">
        <v>36</v>
      </c>
    </row>
    <row r="21" spans="1:3" ht="15.75">
      <c r="A21" s="11" t="s">
        <v>37</v>
      </c>
      <c r="B21" s="18">
        <f>Beregningsark!C28</f>
        <v>0.0266625</v>
      </c>
      <c r="C21" t="s">
        <v>36</v>
      </c>
    </row>
    <row r="22" spans="1:3" ht="15.75">
      <c r="A22" s="11" t="s">
        <v>38</v>
      </c>
      <c r="B22" s="18">
        <f>Beregningsark!C29</f>
        <v>0.0373269</v>
      </c>
      <c r="C22" t="s">
        <v>36</v>
      </c>
    </row>
    <row r="25" ht="12.75">
      <c r="A25" s="19" t="s">
        <v>105</v>
      </c>
    </row>
    <row r="27" ht="12.75">
      <c r="A27" t="s">
        <v>108</v>
      </c>
    </row>
    <row r="28" spans="2:4" ht="12.75">
      <c r="B28" t="s">
        <v>124</v>
      </c>
      <c r="C28" s="17">
        <f>Calculator!D12/1000</f>
        <v>0.025</v>
      </c>
      <c r="D28" t="s">
        <v>116</v>
      </c>
    </row>
    <row r="29" spans="2:4" ht="12.75">
      <c r="B29" t="s">
        <v>125</v>
      </c>
      <c r="C29" s="17">
        <f>Calculator!D13/1000</f>
        <v>0</v>
      </c>
      <c r="D29" t="s">
        <v>116</v>
      </c>
    </row>
    <row r="30" spans="2:4" ht="12.75">
      <c r="B30" t="s">
        <v>126</v>
      </c>
      <c r="C30" s="17">
        <f>Calculator!D14/1000</f>
        <v>0.001</v>
      </c>
      <c r="D30" t="s">
        <v>116</v>
      </c>
    </row>
    <row r="32" ht="12.75">
      <c r="A32" t="s">
        <v>109</v>
      </c>
    </row>
    <row r="33" spans="2:4" ht="12.75">
      <c r="B33" t="s">
        <v>106</v>
      </c>
      <c r="C33">
        <f>Calculator!D17</f>
        <v>0</v>
      </c>
      <c r="D33" t="s">
        <v>114</v>
      </c>
    </row>
    <row r="36" ht="12.75">
      <c r="A36" t="s">
        <v>107</v>
      </c>
    </row>
    <row r="37" spans="2:4" ht="12.75">
      <c r="B37" t="s">
        <v>118</v>
      </c>
      <c r="C37">
        <f>Calculator!D20</f>
        <v>0</v>
      </c>
      <c r="D37" t="s">
        <v>115</v>
      </c>
    </row>
    <row r="38" spans="2:4" ht="12.75">
      <c r="B38" t="s">
        <v>119</v>
      </c>
      <c r="C38">
        <f>Calculator!D21</f>
        <v>0</v>
      </c>
      <c r="D38" t="s">
        <v>115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Ferroperm Piezoceramics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Bove</dc:creator>
  <cp:keywords/>
  <dc:description/>
  <cp:lastModifiedBy>Torsten Bove</cp:lastModifiedBy>
  <cp:lastPrinted>2003-01-09T13:37:09Z</cp:lastPrinted>
  <dcterms:created xsi:type="dcterms:W3CDTF">2001-07-13T12:04:06Z</dcterms:created>
  <dcterms:modified xsi:type="dcterms:W3CDTF">2002-11-29T14:02:30Z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